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705" yWindow="65521" windowWidth="12510" windowHeight="11700" tabRatio="575" activeTab="0"/>
  </bookViews>
  <sheets>
    <sheet name="Membership" sheetId="1" r:id="rId1"/>
    <sheet name="Club Contacts" sheetId="2" r:id="rId2"/>
    <sheet name="Terms &amp; Conditions" sheetId="3" r:id="rId3"/>
    <sheet name="MemberdataOUT" sheetId="4" state="hidden" r:id="rId4"/>
    <sheet name="NamesQry" sheetId="5" state="veryHidden" r:id="rId5"/>
  </sheets>
  <definedNames>
    <definedName name="AddM1" hidden="1">'MemberdataOUT'!$C$32</definedName>
    <definedName name="AddM2" hidden="1">'MemberdataOUT'!$C$33</definedName>
    <definedName name="AddM3" hidden="1">'MemberdataOUT'!$C$34</definedName>
    <definedName name="AddM4" hidden="1">'MemberdataOUT'!$C$35</definedName>
    <definedName name="Addresses" hidden="1">'MemberdataOUT'!$C$32:$C$35</definedName>
    <definedName name="AllDiscount" hidden="1">'MemberdataOUT'!$C$57</definedName>
    <definedName name="Authdetails" hidden="1">'MemberdataOUT'!$B$6:$C$9</definedName>
    <definedName name="Bulk" hidden="1">'Membership'!$V$80</definedName>
    <definedName name="ChkRenew" hidden="1">'MemberdataOUT'!$N$12:$N$28</definedName>
    <definedName name="Chosen" hidden="1">'Membership'!$U$79</definedName>
    <definedName name="Chosen2" hidden="1">'Membership'!$V$79</definedName>
    <definedName name="Club" hidden="1">'MemberdataOUT'!$B$4</definedName>
    <definedName name="ClubforFile" hidden="1">'MemberdataOUT'!$B$5</definedName>
    <definedName name="ContDetails" hidden="1">'Club Contacts'!$D$10:$N$144</definedName>
    <definedName name="ContInput" hidden="1">'Club Contacts'!$R$3:$AD$20</definedName>
    <definedName name="CurM1" hidden="1">'MemberdataOUT'!$K$12</definedName>
    <definedName name="CurM10" hidden="1">'MemberdataOUT'!$K$20</definedName>
    <definedName name="CurM11" hidden="1">'MemberdataOUT'!$K$21</definedName>
    <definedName name="CurM12" hidden="1">'MemberdataOUT'!$K$22</definedName>
    <definedName name="CurM13" hidden="1">'MemberdataOUT'!$K$23</definedName>
    <definedName name="CurM14" hidden="1">'MemberdataOUT'!$K$24</definedName>
    <definedName name="CurM15" hidden="1">'MemberdataOUT'!$K$25</definedName>
    <definedName name="CurM16" hidden="1">'MemberdataOUT'!$K$27</definedName>
    <definedName name="CurM17" hidden="1">'MemberdataOUT'!$K$28</definedName>
    <definedName name="CurM2" hidden="1">'MemberdataOUT'!$K$13</definedName>
    <definedName name="CurM3" hidden="1">'MemberdataOUT'!$K$14</definedName>
    <definedName name="CurM4" hidden="1">'MemberdataOUT'!$K$15</definedName>
    <definedName name="CurM5" hidden="1">'MemberdataOUT'!$K$26</definedName>
    <definedName name="CurM6" hidden="1">'MemberdataOUT'!$K$16</definedName>
    <definedName name="CurM7" hidden="1">'MemberdataOUT'!$K$17</definedName>
    <definedName name="CurM8" hidden="1">'MemberdataOUT'!$K$18</definedName>
    <definedName name="CurM9" hidden="1">'MemberdataOUT'!$K$19</definedName>
    <definedName name="Current" hidden="1">'MemberdataOUT'!$K$12:$K$28</definedName>
    <definedName name="DateJ" hidden="1">'MemberdataOUT'!$G$6</definedName>
    <definedName name="DCode" hidden="1">'Membership'!$G$86</definedName>
    <definedName name="DepM0" hidden="1">'MemberdataOUT'!$G$29</definedName>
    <definedName name="DepM1" hidden="1">'MemberdataOUT'!$G$12</definedName>
    <definedName name="DepM10" hidden="1">'MemberdataOUT'!$G$20</definedName>
    <definedName name="DepM11" hidden="1">'MemberdataOUT'!$G$21</definedName>
    <definedName name="DepM12" hidden="1">'MemberdataOUT'!$G$22</definedName>
    <definedName name="DepM13" hidden="1">'MemberdataOUT'!$G$23</definedName>
    <definedName name="DepM14" hidden="1">'MemberdataOUT'!$G$24</definedName>
    <definedName name="DepM15" hidden="1">'MemberdataOUT'!$G$25</definedName>
    <definedName name="DepM16" hidden="1">'MemberdataOUT'!$G$27</definedName>
    <definedName name="DepM17" hidden="1">'MemberdataOUT'!$G$28</definedName>
    <definedName name="DepM2" hidden="1">'MemberdataOUT'!$G$13</definedName>
    <definedName name="DepM3" hidden="1">'MemberdataOUT'!$G$14</definedName>
    <definedName name="DepM4" hidden="1">'MemberdataOUT'!$G$15</definedName>
    <definedName name="DepM5" hidden="1">'MemberdataOUT'!$G$26</definedName>
    <definedName name="DepM6" hidden="1">'MemberdataOUT'!$G$16</definedName>
    <definedName name="DepM7" hidden="1">'MemberdataOUT'!$G$17</definedName>
    <definedName name="DepM8" hidden="1">'MemberdataOUT'!$G$18</definedName>
    <definedName name="DepM9" hidden="1">'MemberdataOUT'!$G$19</definedName>
    <definedName name="EMAM0" hidden="1">'MemberdataOUT'!$I$29</definedName>
    <definedName name="EMAM1" hidden="1">'MemberdataOUT'!$I$12</definedName>
    <definedName name="EMAM10" hidden="1">'MemberdataOUT'!$I$20</definedName>
    <definedName name="EMAM11" hidden="1">'MemberdataOUT'!$I$21</definedName>
    <definedName name="EMAM12" hidden="1">'MemberdataOUT'!$I$22</definedName>
    <definedName name="EMAM13" hidden="1">'MemberdataOUT'!$I$23</definedName>
    <definedName name="EMAM14" hidden="1">'MemberdataOUT'!$I$24</definedName>
    <definedName name="EMAM15" hidden="1">'MemberdataOUT'!$I$25</definedName>
    <definedName name="EMAM16" hidden="1">'MemberdataOUT'!$I$27</definedName>
    <definedName name="EMAM17" hidden="1">'MemberdataOUT'!$I$28</definedName>
    <definedName name="EMAM2" hidden="1">'MemberdataOUT'!$I$13</definedName>
    <definedName name="EMAM3" hidden="1">'MemberdataOUT'!$I$14</definedName>
    <definedName name="EMAM4" hidden="1">'MemberdataOUT'!$I$15</definedName>
    <definedName name="EMAM5" hidden="1">'MemberdataOUT'!$I$26</definedName>
    <definedName name="EMAM6" hidden="1">'MemberdataOUT'!$I$16</definedName>
    <definedName name="EMAM7" hidden="1">'MemberdataOUT'!$I$17</definedName>
    <definedName name="EMAM8" hidden="1">'MemberdataOUT'!$I$18</definedName>
    <definedName name="EMAM9" hidden="1">'MemberdataOUT'!$I$19</definedName>
    <definedName name="EMDefault" hidden="1">'MemberdataOUT'!$I$32</definedName>
    <definedName name="EndDate" hidden="1">'MemberdataOUT'!$G$5</definedName>
    <definedName name="FLAS" hidden="1">'MemberdataOUT'!$B$7</definedName>
    <definedName name="FName0" hidden="1">'MemberdataOUT'!$D$29</definedName>
    <definedName name="FName1" hidden="1">'MemberdataOUT'!$D$12</definedName>
    <definedName name="FName10" hidden="1">'MemberdataOUT'!$D$20</definedName>
    <definedName name="FName11" hidden="1">'MemberdataOUT'!$D$21</definedName>
    <definedName name="FName12" hidden="1">'MemberdataOUT'!$D$22</definedName>
    <definedName name="FName13" hidden="1">'MemberdataOUT'!$D$23</definedName>
    <definedName name="FName14" hidden="1">'MemberdataOUT'!$D$24</definedName>
    <definedName name="FName15" hidden="1">'MemberdataOUT'!$D$25</definedName>
    <definedName name="FName16" hidden="1">'MemberdataOUT'!$D$27</definedName>
    <definedName name="FName17" hidden="1">'MemberdataOUT'!$D$28</definedName>
    <definedName name="FName2" hidden="1">'MemberdataOUT'!$D$13</definedName>
    <definedName name="FName3" hidden="1">'MemberdataOUT'!$D$14</definedName>
    <definedName name="FName4" hidden="1">'MemberdataOUT'!$D$15</definedName>
    <definedName name="FName5" hidden="1">'MemberdataOUT'!$D$26</definedName>
    <definedName name="FName6" hidden="1">'MemberdataOUT'!$D$16</definedName>
    <definedName name="FName7" hidden="1">'MemberdataOUT'!$D$17</definedName>
    <definedName name="FName8" hidden="1">'MemberdataOUT'!$D$18</definedName>
    <definedName name="FName9" hidden="1">'MemberdataOUT'!$D$19</definedName>
    <definedName name="FormName" hidden="1">'Club Contacts'!$S$1</definedName>
    <definedName name="GrossPrice" hidden="1">'Membership'!$U$14</definedName>
    <definedName name="Hide1" hidden="1">'Membership'!$S:$AA</definedName>
    <definedName name="Hide4" hidden="1">'Club Contacts'!$Q:$AL</definedName>
    <definedName name="L2Check" hidden="1">'MemberdataOUT'!$N$8</definedName>
    <definedName name="Launch2" hidden="1">'MemberdataOUT'!$G$4</definedName>
    <definedName name="Mails" hidden="1">'NamesQry'!$C$1:$C$771</definedName>
    <definedName name="MatchFClub" hidden="1">'NamesQry'!$B$1:$S$771</definedName>
    <definedName name="MemberdataOUT" hidden="1">'MemberdataOUT'!$B$12:$V$29</definedName>
    <definedName name="MemInput1" hidden="1">'Membership'!$U$4:$U$21</definedName>
    <definedName name="MemLong" hidden="1">'MemberdataOUT'!$B$8</definedName>
    <definedName name="MemM1" hidden="1">'Club Contacts'!$R$3</definedName>
    <definedName name="MemM10" hidden="1">'Club Contacts'!$R$12</definedName>
    <definedName name="MemM11" hidden="1">'Club Contacts'!$R$13</definedName>
    <definedName name="MemM12" hidden="1">'Club Contacts'!$R$14</definedName>
    <definedName name="MemM13" hidden="1">'Club Contacts'!$R$15</definedName>
    <definedName name="MemM14" hidden="1">'Club Contacts'!$R$16</definedName>
    <definedName name="MemM15" hidden="1">'Club Contacts'!$R$17</definedName>
    <definedName name="MemM16" hidden="1">'Club Contacts'!$R$18</definedName>
    <definedName name="MemM17" hidden="1">'Club Contacts'!$R$19</definedName>
    <definedName name="MemM2" hidden="1">'Club Contacts'!$R$4</definedName>
    <definedName name="MemM3" hidden="1">'Club Contacts'!$R$5</definedName>
    <definedName name="MemM4" hidden="1">'Club Contacts'!$R$6</definedName>
    <definedName name="MemM5" hidden="1">'Club Contacts'!$R$7</definedName>
    <definedName name="MemM6" hidden="1">'Club Contacts'!$R$8</definedName>
    <definedName name="MemM7" hidden="1">'Club Contacts'!$R$9</definedName>
    <definedName name="MemM8" hidden="1">'Club Contacts'!$R$10</definedName>
    <definedName name="MemM9" hidden="1">'Club Contacts'!$R$11</definedName>
    <definedName name="MemSort" hidden="1">'MemberdataOUT'!$B$9</definedName>
    <definedName name="MemU1" hidden="1">'Membership'!$U$45</definedName>
    <definedName name="MemU10" hidden="1">'Membership'!$U$63</definedName>
    <definedName name="MemU11" hidden="1">'Membership'!$U$65</definedName>
    <definedName name="MemU12" hidden="1">'Membership'!$U$67</definedName>
    <definedName name="MemU13" hidden="1">'Membership'!$U$69</definedName>
    <definedName name="MemU14" hidden="1">'Membership'!$U$71</definedName>
    <definedName name="MemU15" hidden="1">'Membership'!$U$73</definedName>
    <definedName name="MemU16" hidden="1">'Membership'!$U$75</definedName>
    <definedName name="MemU17" hidden="1">'Membership'!$U$77</definedName>
    <definedName name="MemU2" hidden="1">'Membership'!$U$47</definedName>
    <definedName name="MemU3" hidden="1">'Membership'!$U$49</definedName>
    <definedName name="MemU4" hidden="1">'Membership'!$U$51</definedName>
    <definedName name="MemU5" hidden="1">'Membership'!$U$53</definedName>
    <definedName name="MemU6" hidden="1">'Membership'!$U$55</definedName>
    <definedName name="MemU7" hidden="1">'Membership'!$U$57</definedName>
    <definedName name="MemU8" hidden="1">'Membership'!$U$59</definedName>
    <definedName name="MemU9" hidden="1">'Membership'!$U$61</definedName>
    <definedName name="MemYear" hidden="1">'MemberdataOUT'!$G$3</definedName>
    <definedName name="Name0" hidden="1">'MemberdataOUT'!$E$29</definedName>
    <definedName name="Name1" hidden="1">'MemberdataOUT'!$E$12</definedName>
    <definedName name="Name10" hidden="1">'MemberdataOUT'!$E$20</definedName>
    <definedName name="Name11" hidden="1">'MemberdataOUT'!$E$21</definedName>
    <definedName name="Name12" hidden="1">'MemberdataOUT'!$E$22</definedName>
    <definedName name="Name13" hidden="1">'MemberdataOUT'!$E$23</definedName>
    <definedName name="Name14" hidden="1">'MemberdataOUT'!$E$24</definedName>
    <definedName name="Name15" hidden="1">'MemberdataOUT'!$E$25</definedName>
    <definedName name="Name16" hidden="1">'MemberdataOUT'!$E$27</definedName>
    <definedName name="Name17" hidden="1">'MemberdataOUT'!$E$28</definedName>
    <definedName name="Name2" hidden="1">'MemberdataOUT'!$E$13</definedName>
    <definedName name="Name3" hidden="1">'MemberdataOUT'!$E$14</definedName>
    <definedName name="Name4" hidden="1">'MemberdataOUT'!$E$15</definedName>
    <definedName name="Name5" hidden="1">'MemberdataOUT'!$E$26</definedName>
    <definedName name="Name6" hidden="1">'MemberdataOUT'!$E$16</definedName>
    <definedName name="Name7" hidden="1">'MemberdataOUT'!$E$17</definedName>
    <definedName name="Name8" hidden="1">'MemberdataOUT'!$E$18</definedName>
    <definedName name="Name9" hidden="1">'MemberdataOUT'!$E$19</definedName>
    <definedName name="Names" hidden="1">'NamesQry'!$A$1:$A$771</definedName>
    <definedName name="OAdd1" hidden="1">'Club Contacts'!$V$22</definedName>
    <definedName name="OAdd2" hidden="1">'Club Contacts'!$V$23</definedName>
    <definedName name="OAdd3" hidden="1">'Club Contacts'!$V$24</definedName>
    <definedName name="OAdd4" hidden="1">'Club Contacts'!$V$25</definedName>
    <definedName name="ODep" hidden="1">'Club Contacts'!$AA$20</definedName>
    <definedName name="OEMA" hidden="1">'Club Contacts'!$AC$20</definedName>
    <definedName name="OFName" hidden="1">'Club Contacts'!$X$20</definedName>
    <definedName name="OName" hidden="1">'Club Contacts'!$Y$20</definedName>
    <definedName name="OPos" hidden="1">'Club Contacts'!$Z$20</definedName>
    <definedName name="OrgDetails1" localSheetId="0" hidden="1">'Membership'!$G$14:$M$17</definedName>
    <definedName name="OrgDetails2" localSheetId="0" hidden="1">'Membership'!$C$28:$M$33</definedName>
    <definedName name="OTel" hidden="1">'Club Contacts'!$AB$20</definedName>
    <definedName name="OTitle" hidden="1">'Club Contacts'!$W$20</definedName>
    <definedName name="PMDiscount" hidden="1">'MemberdataOUT'!$C$58</definedName>
    <definedName name="PosM0" hidden="1">'MemberdataOUT'!$F$29</definedName>
    <definedName name="PosM1" hidden="1">'MemberdataOUT'!$F$12</definedName>
    <definedName name="PosM10" hidden="1">'MemberdataOUT'!$F$20</definedName>
    <definedName name="PosM11" hidden="1">'MemberdataOUT'!$F$21</definedName>
    <definedName name="PosM12" hidden="1">'MemberdataOUT'!$F$22</definedName>
    <definedName name="PosM13" hidden="1">'MemberdataOUT'!$F$23</definedName>
    <definedName name="PosM14" hidden="1">'MemberdataOUT'!$F$24</definedName>
    <definedName name="PosM15" hidden="1">'MemberdataOUT'!$F$25</definedName>
    <definedName name="PosM16" hidden="1">'MemberdataOUT'!$F$27</definedName>
    <definedName name="PosM17" hidden="1">'MemberdataOUT'!$F$28</definedName>
    <definedName name="PosM2" hidden="1">'MemberdataOUT'!$F$13</definedName>
    <definedName name="PosM3" hidden="1">'MemberdataOUT'!$F$14</definedName>
    <definedName name="PosM4" hidden="1">'MemberdataOUT'!$F$15</definedName>
    <definedName name="PosM5" hidden="1">'MemberdataOUT'!$F$26</definedName>
    <definedName name="PosM6" hidden="1">'MemberdataOUT'!$F$16</definedName>
    <definedName name="PosM7" hidden="1">'MemberdataOUT'!$F$17</definedName>
    <definedName name="PosM8" hidden="1">'MemberdataOUT'!$F$18</definedName>
    <definedName name="PosM9" hidden="1">'MemberdataOUT'!$F$19</definedName>
    <definedName name="Prev1" hidden="1">'MemberdataOUT'!$J$12</definedName>
    <definedName name="Prev10" hidden="1">'MemberdataOUT'!$J$20</definedName>
    <definedName name="Prev11" hidden="1">'MemberdataOUT'!$J$21</definedName>
    <definedName name="Prev12" hidden="1">'MemberdataOUT'!$J$22</definedName>
    <definedName name="Prev13" hidden="1">'MemberdataOUT'!$J$23</definedName>
    <definedName name="Prev14" hidden="1">'MemberdataOUT'!$J$24</definedName>
    <definedName name="Prev15" hidden="1">'MemberdataOUT'!$J$25</definedName>
    <definedName name="Prev16" hidden="1">'MemberdataOUT'!$J$27</definedName>
    <definedName name="Prev17" hidden="1">'MemberdataOUT'!$J$28</definedName>
    <definedName name="Prev2" hidden="1">'MemberdataOUT'!$J$13</definedName>
    <definedName name="Prev3" hidden="1">'MemberdataOUT'!$J$14</definedName>
    <definedName name="Prev4" hidden="1">'MemberdataOUT'!$J$15</definedName>
    <definedName name="Prev5" hidden="1">'MemberdataOUT'!$J$26</definedName>
    <definedName name="Prev6" hidden="1">'MemberdataOUT'!$J$16</definedName>
    <definedName name="Prev7" hidden="1">'MemberdataOUT'!$J$17</definedName>
    <definedName name="Prev8" hidden="1">'MemberdataOUT'!$J$18</definedName>
    <definedName name="Prev9" hidden="1">'MemberdataOUT'!$J$19</definedName>
    <definedName name="PrevSort" hidden="1">'MemberdataOUT'!$V$12:$V$28</definedName>
    <definedName name="PrevSort1" hidden="1">'MemberdataOUT'!$V$12</definedName>
    <definedName name="PrevSort10" hidden="1">'MemberdataOUT'!$V$20</definedName>
    <definedName name="PrevSort11" hidden="1">'MemberdataOUT'!$V$21</definedName>
    <definedName name="PrevSort12" hidden="1">'MemberdataOUT'!$V$22</definedName>
    <definedName name="PrevSort13" hidden="1">'MemberdataOUT'!$V$23</definedName>
    <definedName name="PrevSort14" hidden="1">'MemberdataOUT'!$V$24</definedName>
    <definedName name="PrevSort15" hidden="1">'MemberdataOUT'!$V$25</definedName>
    <definedName name="PrevSort16" hidden="1">'MemberdataOUT'!$V$27</definedName>
    <definedName name="PrevSort17" hidden="1">'MemberdataOUT'!$V$28</definedName>
    <definedName name="PrevSort2" hidden="1">'MemberdataOUT'!$V$13</definedName>
    <definedName name="PrevSort3" hidden="1">'MemberdataOUT'!$V$14</definedName>
    <definedName name="PrevSort4" hidden="1">'MemberdataOUT'!$V$15</definedName>
    <definedName name="PrevSort5" hidden="1">'MemberdataOUT'!$V$26</definedName>
    <definedName name="PrevSort6" hidden="1">'MemberdataOUT'!$V$16</definedName>
    <definedName name="PrevSort7" hidden="1">'MemberdataOUT'!$V$17</definedName>
    <definedName name="PrevSort8" hidden="1">'MemberdataOUT'!$V$18</definedName>
    <definedName name="PrevSort9" hidden="1">'MemberdataOUT'!$V$19</definedName>
    <definedName name="PrevSortSum" hidden="1">'Membership'!$Z$43</definedName>
    <definedName name="Price1" hidden="1">'MemberdataOUT'!$C$39</definedName>
    <definedName name="Price10" hidden="1">'MemberdataOUT'!$C$48</definedName>
    <definedName name="Price11" hidden="1">'MemberdataOUT'!$C$49</definedName>
    <definedName name="Price12" hidden="1">'MemberdataOUT'!$C$50</definedName>
    <definedName name="Price13" hidden="1">'MemberdataOUT'!$C$51</definedName>
    <definedName name="Price14" hidden="1">'MemberdataOUT'!$C$52</definedName>
    <definedName name="Price15" hidden="1">'MemberdataOUT'!$C$53</definedName>
    <definedName name="Price16" hidden="1">'MemberdataOUT'!$C$54</definedName>
    <definedName name="Price17" hidden="1">'MemberdataOUT'!$C$55</definedName>
    <definedName name="Price2" hidden="1">'MemberdataOUT'!$C$40</definedName>
    <definedName name="Price3" hidden="1">'MemberdataOUT'!$C$41</definedName>
    <definedName name="Price4" hidden="1">'MemberdataOUT'!$C$42</definedName>
    <definedName name="Price5" hidden="1">'MemberdataOUT'!$C$43</definedName>
    <definedName name="Price6" hidden="1">'MemberdataOUT'!$C$44</definedName>
    <definedName name="Price7" hidden="1">'MemberdataOUT'!$C$45</definedName>
    <definedName name="Price8" hidden="1">'MemberdataOUT'!$C$46</definedName>
    <definedName name="Price9" hidden="1">'MemberdataOUT'!$C$47</definedName>
    <definedName name="PriceAll" hidden="1">'MemberdataOUT'!$C$48</definedName>
    <definedName name="PriceRange" hidden="1">'MemberdataOUT'!$G$38:$I$57</definedName>
    <definedName name="Prices" hidden="1">'MemberdataOUT'!$C$39:$C$58</definedName>
    <definedName name="_xlnm.Print_Area" localSheetId="1" hidden="1">'Club Contacts'!$A$1:$O$144</definedName>
    <definedName name="_xlnm.Print_Area" localSheetId="0" hidden="1">'Membership'!$A$2:$P$95</definedName>
    <definedName name="_xlnm.Print_Area" localSheetId="2" hidden="1">'Terms &amp; Conditions'!$A$1:$H$57</definedName>
    <definedName name="_xlnm.Print_Titles" localSheetId="1" hidden="1">'Club Contacts'!$6:$8</definedName>
    <definedName name="PSVsum" hidden="1">'Membership'!$Y$43</definedName>
    <definedName name="PurchOrder" hidden="1">'Membership'!$U$7</definedName>
    <definedName name="Renew2" hidden="1">'Membership'!$U$84</definedName>
    <definedName name="RenewAll" hidden="1">'Membership'!$V$44</definedName>
    <definedName name="status" hidden="1">'Membership'!$U$21</definedName>
    <definedName name="TelM0" hidden="1">'MemberdataOUT'!$H$29</definedName>
    <definedName name="TelM1" hidden="1">'MemberdataOUT'!$H$12</definedName>
    <definedName name="TelM10" hidden="1">'MemberdataOUT'!$H$20</definedName>
    <definedName name="TelM11" hidden="1">'MemberdataOUT'!$H$21</definedName>
    <definedName name="TelM12" hidden="1">'MemberdataOUT'!$H$22</definedName>
    <definedName name="TelM13" hidden="1">'MemberdataOUT'!$H$23</definedName>
    <definedName name="TelM14" hidden="1">'MemberdataOUT'!$H$24</definedName>
    <definedName name="TelM15" hidden="1">'MemberdataOUT'!$H$25</definedName>
    <definedName name="TelM16" hidden="1">'MemberdataOUT'!$H$27</definedName>
    <definedName name="TelM17" hidden="1">'MemberdataOUT'!$H$28</definedName>
    <definedName name="TelM2" hidden="1">'MemberdataOUT'!$H$13</definedName>
    <definedName name="TelM3" hidden="1">'MemberdataOUT'!$H$14</definedName>
    <definedName name="TelM4" hidden="1">'MemberdataOUT'!$H$15</definedName>
    <definedName name="TelM5" hidden="1">'MemberdataOUT'!$H$26</definedName>
    <definedName name="TelM6" hidden="1">'MemberdataOUT'!$H$16</definedName>
    <definedName name="TelM7" hidden="1">'MemberdataOUT'!$H$17</definedName>
    <definedName name="TelM8" hidden="1">'MemberdataOUT'!$H$18</definedName>
    <definedName name="TelM9" hidden="1">'MemberdataOUT'!$H$19</definedName>
    <definedName name="Text1" hidden="1">'Club Contacts'!$R$29</definedName>
    <definedName name="Text2" hidden="1">'Club Contacts'!$R$30</definedName>
    <definedName name="Text3" hidden="1">'Club Contacts'!$R$31</definedName>
    <definedName name="Tier" hidden="1">'MemberdataOUT'!$B$6</definedName>
    <definedName name="Tier2" hidden="1">'Membership'!$W$18</definedName>
    <definedName name="Tier3" hidden="1">'Membership'!$U$18</definedName>
    <definedName name="TierLong" hidden="1">'Membership'!$Y$21</definedName>
    <definedName name="TierLong2" hidden="1">'Membership'!$G$19</definedName>
    <definedName name="TierRange" hidden="1">'Membership'!$Y$6:$AA$18</definedName>
    <definedName name="TierRange1" hidden="1">'Membership'!$Y$6:$Y$18</definedName>
    <definedName name="TierRaw" hidden="1">'MemberdataOUT'!$C$6</definedName>
    <definedName name="Title0" hidden="1">'MemberdataOUT'!$C$29</definedName>
    <definedName name="Title1" hidden="1">'MemberdataOUT'!$C$12</definedName>
    <definedName name="Title10" hidden="1">'MemberdataOUT'!$C$20</definedName>
    <definedName name="Title11" hidden="1">'MemberdataOUT'!$C$21</definedName>
    <definedName name="Title12" hidden="1">'MemberdataOUT'!$C$22</definedName>
    <definedName name="Title13" hidden="1">'MemberdataOUT'!$C$23</definedName>
    <definedName name="Title14" hidden="1">'MemberdataOUT'!$C$24</definedName>
    <definedName name="Title15" hidden="1">'MemberdataOUT'!$C$25</definedName>
    <definedName name="Title16" hidden="1">'MemberdataOUT'!$C$27</definedName>
    <definedName name="Title17" hidden="1">'MemberdataOUT'!$C$28</definedName>
    <definedName name="Title2" hidden="1">'MemberdataOUT'!$C$13</definedName>
    <definedName name="Title3" hidden="1">'MemberdataOUT'!$C$14</definedName>
    <definedName name="Title4" hidden="1">'MemberdataOUT'!$C$15</definedName>
    <definedName name="Title5" hidden="1">'MemberdataOUT'!$C$26</definedName>
    <definedName name="Title6" hidden="1">'MemberdataOUT'!$C$16</definedName>
    <definedName name="Title7" hidden="1">'MemberdataOUT'!$C$17</definedName>
    <definedName name="Title8" hidden="1">'MemberdataOUT'!$C$18</definedName>
    <definedName name="Title9" hidden="1">'MemberdataOUT'!$C$19</definedName>
    <definedName name="TotalLastYr" hidden="1">'MemberdataOUT'!$J$8</definedName>
    <definedName name="ValCount" hidden="1">'Club Contacts'!$AK$3</definedName>
    <definedName name="ValTable" hidden="1">'Club Contacts'!$AF$3:$AJ$20</definedName>
  </definedNames>
  <calcPr fullCalcOnLoad="1"/>
</workbook>
</file>

<file path=xl/sharedStrings.xml><?xml version="1.0" encoding="utf-8"?>
<sst xmlns="http://schemas.openxmlformats.org/spreadsheetml/2006/main" count="2779" uniqueCount="2510">
  <si>
    <t>Treasury Solicitors</t>
  </si>
  <si>
    <t>XTrent</t>
  </si>
  <si>
    <t>Trent &amp; Dove Housing Ltd</t>
  </si>
  <si>
    <t>THL004</t>
  </si>
  <si>
    <t>Trinity House Lighthouse Service</t>
  </si>
  <si>
    <t>UKCES</t>
  </si>
  <si>
    <t>5 Boroughs Partnership NHS Trust</t>
  </si>
  <si>
    <t>ACAS</t>
  </si>
  <si>
    <t>PrevMem</t>
  </si>
  <si>
    <t>Barnet Enfield &amp; Haringey Mental Health NHS Trust</t>
  </si>
  <si>
    <t>BarnetHomes</t>
  </si>
  <si>
    <t>Barnet Homes Limited</t>
  </si>
  <si>
    <t>RFFAA</t>
  </si>
  <si>
    <t>Barnsley Hospital NHS FT</t>
  </si>
  <si>
    <t>RN5</t>
  </si>
  <si>
    <t>The Electoral Commission</t>
  </si>
  <si>
    <t>TFSC</t>
  </si>
  <si>
    <t>The Fire Service College</t>
  </si>
  <si>
    <t>RAS</t>
  </si>
  <si>
    <t>W7002</t>
  </si>
  <si>
    <t>RKL</t>
  </si>
  <si>
    <t>West London Mental Health NHS Trust</t>
  </si>
  <si>
    <t>E6055</t>
  </si>
  <si>
    <t>West Mercia Police</t>
  </si>
  <si>
    <t>E6146</t>
  </si>
  <si>
    <t>Gloucestershire County Council</t>
  </si>
  <si>
    <t>Outer North East London NHS Cluster</t>
  </si>
  <si>
    <t>ONEL</t>
  </si>
  <si>
    <t>South East London Sector NHS Cluster</t>
  </si>
  <si>
    <t>SEL</t>
  </si>
  <si>
    <t>RKE</t>
  </si>
  <si>
    <t>E6073</t>
  </si>
  <si>
    <t>Surrey Police</t>
  </si>
  <si>
    <t>E6053</t>
  </si>
  <si>
    <t>Gconnexions</t>
  </si>
  <si>
    <t>Creditors</t>
  </si>
  <si>
    <t>•</t>
  </si>
  <si>
    <t>E6150</t>
  </si>
  <si>
    <t>E6112</t>
  </si>
  <si>
    <t>E6012</t>
  </si>
  <si>
    <t>DSTL</t>
  </si>
  <si>
    <t>W6071</t>
  </si>
  <si>
    <t>E1233</t>
  </si>
  <si>
    <t>E1502</t>
  </si>
  <si>
    <t>S8707</t>
  </si>
  <si>
    <t>E6114</t>
  </si>
  <si>
    <t>East Sussex Fire &amp; Rescue Service</t>
  </si>
  <si>
    <t>RXC</t>
  </si>
  <si>
    <t>East Sussex Hospitals NHS Trust</t>
  </si>
  <si>
    <t>E1733</t>
  </si>
  <si>
    <t>Department for Business, Enterprise &amp; Regulatory Reform</t>
  </si>
  <si>
    <t>Great Yarmouth Borough Council</t>
  </si>
  <si>
    <t>Greater Manchester Fire &amp; Rescue Authority</t>
  </si>
  <si>
    <t>E0603</t>
  </si>
  <si>
    <t>OAdd4</t>
  </si>
  <si>
    <t>West Somerset District Council</t>
  </si>
  <si>
    <t>Greater Manchester Police</t>
  </si>
  <si>
    <t>Tunbridge Wells Borough Council</t>
  </si>
  <si>
    <t>London Borough of Brent</t>
  </si>
  <si>
    <t>Brentwood Borough Council</t>
  </si>
  <si>
    <t>Bridgend County Borough Council</t>
  </si>
  <si>
    <t>Brighton &amp; Hove City Council</t>
  </si>
  <si>
    <t>Northumberland, Tyne &amp; Wear NHS Foundation Trust</t>
  </si>
  <si>
    <t>NWDA</t>
  </si>
  <si>
    <t>Wyre Borough Council</t>
  </si>
  <si>
    <t>YF</t>
  </si>
  <si>
    <t>Yorkshire Forward</t>
  </si>
  <si>
    <t>E2237</t>
  </si>
  <si>
    <t>E4203</t>
  </si>
  <si>
    <t>E3035</t>
  </si>
  <si>
    <t>E2201</t>
  </si>
  <si>
    <t>E5044</t>
  </si>
  <si>
    <t>E6060</t>
  </si>
  <si>
    <t>E0702</t>
  </si>
  <si>
    <t>E0401</t>
  </si>
  <si>
    <t>E3036</t>
  </si>
  <si>
    <t>E4502</t>
  </si>
  <si>
    <t>E3434</t>
  </si>
  <si>
    <t>E5045</t>
  </si>
  <si>
    <t>W7203</t>
  </si>
  <si>
    <t>E2620</t>
  </si>
  <si>
    <t>E1134</t>
  </si>
  <si>
    <t>E2003</t>
  </si>
  <si>
    <t>E1935</t>
  </si>
  <si>
    <t>E2534</t>
  </si>
  <si>
    <t>E2004</t>
  </si>
  <si>
    <t>E0104</t>
  </si>
  <si>
    <t>E4503</t>
  </si>
  <si>
    <t>W6073</t>
  </si>
  <si>
    <t>E2437</t>
  </si>
  <si>
    <t>E2721</t>
  </si>
  <si>
    <t>E2835</t>
  </si>
  <si>
    <t>Hertsmere Borough Council</t>
  </si>
  <si>
    <t>London Borough of Hillingdon</t>
  </si>
  <si>
    <t>London Borough of Hounslow</t>
  </si>
  <si>
    <t>Kingston-upon-Hull City Council</t>
  </si>
  <si>
    <t>NHS Lincolnshire</t>
  </si>
  <si>
    <t>5NF</t>
  </si>
  <si>
    <t>NHS North Lancashire</t>
  </si>
  <si>
    <t>Norfolk Constabulary</t>
  </si>
  <si>
    <t>S8709</t>
  </si>
  <si>
    <t>Sortname</t>
  </si>
  <si>
    <t>Datejoined</t>
  </si>
  <si>
    <t>New Forest District Council</t>
  </si>
  <si>
    <t>E4704</t>
  </si>
  <si>
    <t>S8711</t>
  </si>
  <si>
    <t>E6044</t>
  </si>
  <si>
    <t>E3637</t>
  </si>
  <si>
    <t>Aberdeenshire Council</t>
  </si>
  <si>
    <t>E1035</t>
  </si>
  <si>
    <t>5F1</t>
  </si>
  <si>
    <t>Wokingham Borough Council</t>
  </si>
  <si>
    <t>Derwentside Homes Ltd</t>
  </si>
  <si>
    <t>Price3</t>
  </si>
  <si>
    <t>Price4</t>
  </si>
  <si>
    <t>5.</t>
  </si>
  <si>
    <t>6.</t>
  </si>
  <si>
    <t>7.</t>
  </si>
  <si>
    <t>Code</t>
  </si>
  <si>
    <t>Competition Commission</t>
  </si>
  <si>
    <t>RJR</t>
  </si>
  <si>
    <t>Countess of Chester Hospital NHS FT</t>
  </si>
  <si>
    <t>RXPCHS</t>
  </si>
  <si>
    <t>Benefits</t>
  </si>
  <si>
    <t>Tameside Metropolitan Borough Council</t>
  </si>
  <si>
    <t>Sandwell Metropolitan Borough Council</t>
  </si>
  <si>
    <t>Scarborough Borough Council</t>
  </si>
  <si>
    <t>Scottish Borders Council</t>
  </si>
  <si>
    <t>Scottish Court Service</t>
  </si>
  <si>
    <t>Malvern Hills District Council</t>
  </si>
  <si>
    <t>E2436</t>
  </si>
  <si>
    <t>Buckinghamshire County Council</t>
  </si>
  <si>
    <t>Bury Metropolitan Borough Council</t>
  </si>
  <si>
    <t>United Kingdom Atomic Energy Agency</t>
  </si>
  <si>
    <t>RWD</t>
  </si>
  <si>
    <t>United Lincolnshire Hospitals NHS Trust</t>
  </si>
  <si>
    <t>National Trust</t>
  </si>
  <si>
    <t>A responsive Helpline and contact service</t>
  </si>
  <si>
    <t>Liverpool Heart &amp; Chest Hospital NHSFT</t>
  </si>
  <si>
    <t>5NL</t>
  </si>
  <si>
    <t>Liverpool PCT</t>
  </si>
  <si>
    <t>RBS76</t>
  </si>
  <si>
    <t>Gambling Commission</t>
  </si>
  <si>
    <t>E6016</t>
  </si>
  <si>
    <t>Auth</t>
  </si>
  <si>
    <t>South Holland District Council</t>
  </si>
  <si>
    <t>South Kesteven District Council</t>
  </si>
  <si>
    <t>E4604</t>
  </si>
  <si>
    <t>E2736</t>
  </si>
  <si>
    <t>S8001</t>
  </si>
  <si>
    <t>E3332</t>
  </si>
  <si>
    <t>E4304</t>
  </si>
  <si>
    <t>E2757</t>
  </si>
  <si>
    <t>E4404</t>
  </si>
  <si>
    <t>London Borough of Richmond-upon-Thames</t>
  </si>
  <si>
    <t>Richmondshire District Council</t>
  </si>
  <si>
    <t>Rochdale Metropolitan Borough Council</t>
  </si>
  <si>
    <t>Rochford District Council</t>
  </si>
  <si>
    <t>Rotherham Metropolitan Borough Council</t>
  </si>
  <si>
    <t>Rugby Borough Council</t>
  </si>
  <si>
    <t>Rushcliffe Borough Council</t>
  </si>
  <si>
    <t>Rushmoor Borough Council</t>
  </si>
  <si>
    <t>Greater Merseyside Connexions</t>
  </si>
  <si>
    <t>E6117</t>
  </si>
  <si>
    <t>London Borough of Lambeth</t>
  </si>
  <si>
    <t>City of Bradford Metropolitan Council</t>
  </si>
  <si>
    <t>E5010</t>
  </si>
  <si>
    <t>Vale of White Horse District Council</t>
  </si>
  <si>
    <t>VOA</t>
  </si>
  <si>
    <t>XRural Payments Agency</t>
  </si>
  <si>
    <t>Rural Payments Agency</t>
  </si>
  <si>
    <t>E2402</t>
  </si>
  <si>
    <t>ORGANISATION DETAILS FOR INVOICING</t>
  </si>
  <si>
    <t>The University of London</t>
  </si>
  <si>
    <t>he</t>
  </si>
  <si>
    <t>RM</t>
  </si>
  <si>
    <t>Derbyshire Dales District Council</t>
  </si>
  <si>
    <t>E6110</t>
  </si>
  <si>
    <t>Derbyshire Fire &amp; Rescue Service</t>
  </si>
  <si>
    <t>Scottish Environment Protection Agency</t>
  </si>
  <si>
    <t>MemInput1</t>
  </si>
  <si>
    <t xml:space="preserve">                         </t>
  </si>
  <si>
    <t>ie. blank and not X or C</t>
  </si>
  <si>
    <t>RenewAll</t>
  </si>
  <si>
    <t>PrevSort*RenewAll</t>
  </si>
  <si>
    <t>=AND(OAdd1=AddM1,OAdd2=AddM2,OAdd3=AddM3,OAdd4=AddM4)</t>
  </si>
  <si>
    <t>=AC21=EMAM0</t>
  </si>
  <si>
    <t>LateInvoice</t>
  </si>
  <si>
    <t>Cardiff Council</t>
  </si>
  <si>
    <t>g</t>
  </si>
  <si>
    <t>MemYear</t>
  </si>
  <si>
    <t>Clubs for relaunch text</t>
  </si>
  <si>
    <t>Year</t>
  </si>
  <si>
    <t>We do not wish to take part in the above benchmarking clubs in 2013</t>
  </si>
  <si>
    <t>Corporate Services 2013</t>
  </si>
  <si>
    <t>PrevSort</t>
  </si>
  <si>
    <t>Please tick the box on the Membership screen before entering contact details.</t>
  </si>
  <si>
    <t>A £100 discount on the club price is available for rejoining any club that your organisation was a member of in 2012 - provided that we receive your completed membership form by</t>
  </si>
  <si>
    <t>This club is only available when one or more other clubs are also joined.</t>
  </si>
  <si>
    <t>Terms and Conditions</t>
  </si>
  <si>
    <t>Nuneaton and Bedworth Borough Council</t>
  </si>
  <si>
    <t>Debt</t>
  </si>
  <si>
    <t>NDR</t>
  </si>
  <si>
    <t>Central &amp; NW London Mental Health NHS Foundation Trust</t>
  </si>
  <si>
    <t>RV3</t>
  </si>
  <si>
    <t>Pay</t>
  </si>
  <si>
    <t>Tax</t>
  </si>
  <si>
    <t>TM</t>
  </si>
  <si>
    <t>5D9</t>
  </si>
  <si>
    <t>Hartlepool PCT</t>
  </si>
  <si>
    <t>HSE</t>
  </si>
  <si>
    <t>RET</t>
  </si>
  <si>
    <t>The Walton Centre NHS FT</t>
  </si>
  <si>
    <t>Final report comparing performance with all members or by organisation type where relevant</t>
  </si>
  <si>
    <t>Originator</t>
  </si>
  <si>
    <t>u</t>
  </si>
  <si>
    <t>W7001</t>
  </si>
  <si>
    <t>Wakefield Metropolitan District Council</t>
  </si>
  <si>
    <t>Lancaster City Council</t>
  </si>
  <si>
    <t>Leeds City Council</t>
  </si>
  <si>
    <t>Leicester City Council</t>
  </si>
  <si>
    <t>Staffordshire Moorlands District Council</t>
  </si>
  <si>
    <t>Staffordshire Police</t>
  </si>
  <si>
    <t>Stevenage Borough Council</t>
  </si>
  <si>
    <t>Stockport Metropolitan Borough Council</t>
  </si>
  <si>
    <t>E6343</t>
  </si>
  <si>
    <t>Ignore at Relaunch</t>
  </si>
  <si>
    <t>North East Lincolnshire Council</t>
  </si>
  <si>
    <t>North Hertfordshire District Council</t>
  </si>
  <si>
    <t>North Kesteven District Council</t>
  </si>
  <si>
    <t>North Lincolnshire Council</t>
  </si>
  <si>
    <t>North Norfolk District Council</t>
  </si>
  <si>
    <t>North Somerset Council</t>
  </si>
  <si>
    <t>North Warwickshire Borough Council</t>
  </si>
  <si>
    <t>North Yorkshire County Council</t>
  </si>
  <si>
    <t>East Devon District Council</t>
  </si>
  <si>
    <t>S8705</t>
  </si>
  <si>
    <t>Argyll &amp; Bute Council</t>
  </si>
  <si>
    <t>Arun District Council</t>
  </si>
  <si>
    <t>Basingstoke &amp; Deane Borough Council</t>
  </si>
  <si>
    <r>
      <t xml:space="preserve">VAT at standard rate will be added to the fees above.  </t>
    </r>
    <r>
      <rPr>
        <sz val="10"/>
        <rFont val="Verdana"/>
        <family val="2"/>
      </rPr>
      <t>CIPFA will invoice you.</t>
    </r>
  </si>
  <si>
    <t>Torfaen County Borough Council</t>
  </si>
  <si>
    <t>E1139</t>
  </si>
  <si>
    <t>Torridge District Council</t>
  </si>
  <si>
    <t>Leicestershire County Council</t>
  </si>
  <si>
    <t>Lewes District Council</t>
  </si>
  <si>
    <t>London Borough of Lewisham</t>
  </si>
  <si>
    <t>Stirling Council</t>
  </si>
  <si>
    <t>STTPCT</t>
  </si>
  <si>
    <t>Copeland Borough Council</t>
  </si>
  <si>
    <t>Corby Borough Council</t>
  </si>
  <si>
    <t>E0932</t>
  </si>
  <si>
    <t>RJ2</t>
  </si>
  <si>
    <t>Rutland County Council</t>
  </si>
  <si>
    <t>Merseyside Police</t>
  </si>
  <si>
    <t>RBT</t>
  </si>
  <si>
    <t>Fylde Borough Council</t>
  </si>
  <si>
    <t>GamC</t>
  </si>
  <si>
    <t>Adur District Council</t>
  </si>
  <si>
    <t>South West London &amp; St George's Mental Health NHS Trust</t>
  </si>
  <si>
    <t>SWERDA</t>
  </si>
  <si>
    <t>South West of England Regional Development Agency</t>
  </si>
  <si>
    <t>RXG</t>
  </si>
  <si>
    <t>London Borough of Islington</t>
  </si>
  <si>
    <t>Royal Borough of Kensington &amp; Chelsea</t>
  </si>
  <si>
    <t>Kent County Council</t>
  </si>
  <si>
    <t>Cumbria Fire &amp; Rescue Service</t>
  </si>
  <si>
    <t>Dacorum Borough Council</t>
  </si>
  <si>
    <t>E1540</t>
  </si>
  <si>
    <t>E3534</t>
  </si>
  <si>
    <t>Mid Suffolk District Council</t>
  </si>
  <si>
    <t>5KM</t>
  </si>
  <si>
    <t>Middlesbrough Primary Care Trust</t>
  </si>
  <si>
    <t>5N5</t>
  </si>
  <si>
    <t>Doncaster PCT</t>
  </si>
  <si>
    <t>RBD</t>
  </si>
  <si>
    <t>Cornwall Council</t>
  </si>
  <si>
    <t>County Durham &amp; Darlington NHS FT</t>
  </si>
  <si>
    <t>E2731</t>
  </si>
  <si>
    <t>Craven District Council</t>
  </si>
  <si>
    <t>CRB</t>
  </si>
  <si>
    <t>Criminal Records Bureau</t>
  </si>
  <si>
    <t>CPS</t>
  </si>
  <si>
    <t>Babergh District Council</t>
  </si>
  <si>
    <t>Lincolnshire County Council</t>
  </si>
  <si>
    <t>Liverpool City Council</t>
  </si>
  <si>
    <t>London Housing Association - ASRA Group</t>
  </si>
  <si>
    <t>E1539</t>
  </si>
  <si>
    <t>AUDSCOT</t>
  </si>
  <si>
    <t>Audit Scotland</t>
  </si>
  <si>
    <t>RVN</t>
  </si>
  <si>
    <t>Central &amp; Eastern Cheshire PCT</t>
  </si>
  <si>
    <t>COI</t>
  </si>
  <si>
    <t>Central Office of Information</t>
  </si>
  <si>
    <t>S6186</t>
  </si>
  <si>
    <t>RX4</t>
  </si>
  <si>
    <t>Children and Family Court Advisory and Support Service</t>
  </si>
  <si>
    <t>CWDC</t>
  </si>
  <si>
    <t>S6085</t>
  </si>
  <si>
    <t>MerHousing</t>
  </si>
  <si>
    <t>E6143</t>
  </si>
  <si>
    <t>RK9</t>
  </si>
  <si>
    <t>Plymouth Hospitals NHS Trust</t>
  </si>
  <si>
    <t>South Lakeland District Council</t>
  </si>
  <si>
    <t>South Lanarkshire Council</t>
  </si>
  <si>
    <t>South Norfolk District Council</t>
  </si>
  <si>
    <t>Ryedale District Council</t>
  </si>
  <si>
    <t>Salford City Council</t>
  </si>
  <si>
    <t>Clubs already joined are shown in italics</t>
  </si>
  <si>
    <t>Please remember that we cannot respond to queries sent to the above automated address.</t>
  </si>
  <si>
    <t>LastName</t>
  </si>
  <si>
    <t>The annual subscription will be automatically renewed on 1st February each year unless prior notification of cancellation is received in accordance with section 3 below.</t>
  </si>
  <si>
    <t>Durham County Council</t>
  </si>
  <si>
    <t>Dyfed-Powys Police</t>
  </si>
  <si>
    <t>RTG</t>
  </si>
  <si>
    <t>Sussex Police</t>
  </si>
  <si>
    <t>5M7</t>
  </si>
  <si>
    <t>E5035</t>
  </si>
  <si>
    <t>E1932</t>
  </si>
  <si>
    <t>E1301</t>
  </si>
  <si>
    <t>E2832</t>
  </si>
  <si>
    <t>E2339</t>
  </si>
  <si>
    <t>The Whittington Hospital NHS Trust</t>
  </si>
  <si>
    <t>TTGDC</t>
  </si>
  <si>
    <t>Humberside Fire and Rescue Service</t>
  </si>
  <si>
    <t>Huntingdonshire District Council</t>
  </si>
  <si>
    <t>Inverclyde Council</t>
  </si>
  <si>
    <t>Identity and Passport Service</t>
  </si>
  <si>
    <t>Ipswich Borough Council</t>
  </si>
  <si>
    <t>Taunton Deane Borough Council</t>
  </si>
  <si>
    <t>TISS</t>
  </si>
  <si>
    <t>Tees ICT Support Service</t>
  </si>
  <si>
    <t>E1137</t>
  </si>
  <si>
    <t>Teignbridge District Council</t>
  </si>
  <si>
    <t>E1542</t>
  </si>
  <si>
    <t>Tendring District Council</t>
  </si>
  <si>
    <t>E2242</t>
  </si>
  <si>
    <t>Thanet District Council</t>
  </si>
  <si>
    <t>The City and County of Swansea</t>
  </si>
  <si>
    <t>E4001</t>
  </si>
  <si>
    <t>The Council of The Isles of Scilly</t>
  </si>
  <si>
    <t>ELECOM</t>
  </si>
  <si>
    <t>Bedfordshire Police</t>
  </si>
  <si>
    <t>E2431</t>
  </si>
  <si>
    <t>Same originator address as last year?</t>
  </si>
  <si>
    <t>Old Check</t>
  </si>
  <si>
    <t>Prev and current</t>
  </si>
  <si>
    <t>E2635</t>
  </si>
  <si>
    <t>Halton Borough Council</t>
  </si>
  <si>
    <t>Hambleton District Council</t>
  </si>
  <si>
    <t>Lake District National Park</t>
  </si>
  <si>
    <t>RW5</t>
  </si>
  <si>
    <t>Lancashire Care NHS Trust</t>
  </si>
  <si>
    <t>Historic Scotland</t>
  </si>
  <si>
    <t>HMLR</t>
  </si>
  <si>
    <t>HM Land Registry</t>
  </si>
  <si>
    <t>HMRC</t>
  </si>
  <si>
    <t>HM Revenue &amp; Customs</t>
  </si>
  <si>
    <t>HMTreasury</t>
  </si>
  <si>
    <t>HM Treasury</t>
  </si>
  <si>
    <t>HO</t>
  </si>
  <si>
    <t>Home Office</t>
  </si>
  <si>
    <t>HCA</t>
  </si>
  <si>
    <t>Homes and Communities Agency</t>
  </si>
  <si>
    <t>E3835</t>
  </si>
  <si>
    <t>Horsham District Council</t>
  </si>
  <si>
    <t>E6020</t>
  </si>
  <si>
    <t>Denbighshire County Council</t>
  </si>
  <si>
    <t>S8702</t>
  </si>
  <si>
    <t>E3732</t>
  </si>
  <si>
    <t>E0532</t>
  </si>
  <si>
    <t>S8603</t>
  </si>
  <si>
    <t>Midlothian Council</t>
  </si>
  <si>
    <t>MOD</t>
  </si>
  <si>
    <t>St Helens and Knowsley Hospitals NHS Trust</t>
  </si>
  <si>
    <t>S8103</t>
  </si>
  <si>
    <t>Nottingham City Council</t>
  </si>
  <si>
    <t>E1501</t>
  </si>
  <si>
    <t>E5019</t>
  </si>
  <si>
    <t>E1936</t>
  </si>
  <si>
    <t>Office for National Statistics</t>
  </si>
  <si>
    <t>ORR</t>
  </si>
  <si>
    <t>Office of Rail Regulation</t>
  </si>
  <si>
    <t>Avon &amp; Somerset Police</t>
  </si>
  <si>
    <t>Aylesbury Vale District Council</t>
  </si>
  <si>
    <t>London Borough of Barnet</t>
  </si>
  <si>
    <t>Barnsley Metropolitan Borough Council</t>
  </si>
  <si>
    <t>Borough of Barrow In Furness</t>
  </si>
  <si>
    <t>FLAS</t>
  </si>
  <si>
    <t>Pens</t>
  </si>
  <si>
    <t>Dept</t>
  </si>
  <si>
    <t>DerHousing</t>
  </si>
  <si>
    <t>E6051</t>
  </si>
  <si>
    <t>Shrewsbury and Telford Hospital NHS Trust</t>
  </si>
  <si>
    <t>Please enter your organisation name</t>
  </si>
  <si>
    <t>11MILLION.org.uk</t>
  </si>
  <si>
    <t>5bp.nhs.uk</t>
  </si>
  <si>
    <t>aberdeencity.gov.uk</t>
  </si>
  <si>
    <t>aberdeenshire.gov.uk</t>
  </si>
  <si>
    <t>acas.org.uk</t>
  </si>
  <si>
    <t>adur.gov.uk</t>
  </si>
  <si>
    <t>aintree.nhs.uk</t>
  </si>
  <si>
    <t>allerdale.gov.uk</t>
  </si>
  <si>
    <t>ambervalley.gov.uk</t>
  </si>
  <si>
    <t>amicushorizon.org.uk</t>
  </si>
  <si>
    <t>anglesey.gov.uk</t>
  </si>
  <si>
    <t>argyll-bute.gov.uk</t>
  </si>
  <si>
    <t>arun.gov.uk</t>
  </si>
  <si>
    <t>ashfield-dc.gov.uk</t>
  </si>
  <si>
    <t>ashford.gov.uk</t>
  </si>
  <si>
    <t>audit-commission.gov.uk</t>
  </si>
  <si>
    <t>anw.nhs.uk</t>
  </si>
  <si>
    <t>audit-scotland.gov.uk</t>
  </si>
  <si>
    <t>awp.nhs.uk</t>
  </si>
  <si>
    <t>advantagewm.co.uk</t>
  </si>
  <si>
    <t>aylesburyvaledc.gov.uk</t>
  </si>
  <si>
    <t>babergh.gov.uk</t>
  </si>
  <si>
    <t>bankofengland.co.uk</t>
  </si>
  <si>
    <t>lbbd.gov.uk</t>
  </si>
  <si>
    <t>barnet.gov.uk</t>
  </si>
  <si>
    <t>beh-mht.nhs.uk</t>
  </si>
  <si>
    <t>barnethomes.org</t>
  </si>
  <si>
    <t>barnsley.gov.uk</t>
  </si>
  <si>
    <t>www.barnsleyhospital.nhs.uk</t>
  </si>
  <si>
    <t>barrowbc.gov.uk</t>
  </si>
  <si>
    <t>basildon.gov.uk</t>
  </si>
  <si>
    <t>basingstoke.gov.uk</t>
  </si>
  <si>
    <t>bnhft.nhs.uk</t>
  </si>
  <si>
    <t>bassetlaw.gov.uk</t>
  </si>
  <si>
    <t>bathnes.gov.uk</t>
  </si>
  <si>
    <t>bbc.co.uk</t>
  </si>
  <si>
    <t>becta.org.uk</t>
  </si>
  <si>
    <t>bedford.gov.uk</t>
  </si>
  <si>
    <t>bedfordshire.pnn.police.uk</t>
  </si>
  <si>
    <t>belfastcity.gov.uk</t>
  </si>
  <si>
    <t>berr.gsi.gov.uk</t>
  </si>
  <si>
    <t>bexley.gov.uk</t>
  </si>
  <si>
    <t>birmingham.gov.uk</t>
  </si>
  <si>
    <t>blaby.gov.uk</t>
  </si>
  <si>
    <t>blackburn.gov.uk</t>
  </si>
  <si>
    <t>bwdpct.nhs.uk</t>
  </si>
  <si>
    <t>blackpool.gov.uk</t>
  </si>
  <si>
    <t>bfwhospitals.nhs.uk</t>
  </si>
  <si>
    <t>blackpool.nhs.uk</t>
  </si>
  <si>
    <t>blaenau-gwent.gov.uk</t>
  </si>
  <si>
    <t>bolsover.gov.uk</t>
  </si>
  <si>
    <t>bolton.gov.uk</t>
  </si>
  <si>
    <t>boston.gov.uk</t>
  </si>
  <si>
    <t>bournemouth.gov.uk</t>
  </si>
  <si>
    <t>bp-pct.nhs.uk</t>
  </si>
  <si>
    <t>bracknell-forest.gov.uk</t>
  </si>
  <si>
    <t>bradford.gov.uk</t>
  </si>
  <si>
    <t>braintree.gov.uk</t>
  </si>
  <si>
    <t>breckland.gov.uk</t>
  </si>
  <si>
    <t>brent.gov.uk</t>
  </si>
  <si>
    <t>brentwood.gov.uk</t>
  </si>
  <si>
    <t>bridgend.gov.uk</t>
  </si>
  <si>
    <t>brighton-hove.gov.uk</t>
  </si>
  <si>
    <t>bristol.gov.uk</t>
  </si>
  <si>
    <t>btp.pnn.police.uk</t>
  </si>
  <si>
    <t>broadland.gov.uk</t>
  </si>
  <si>
    <t>bromley.gov.uk</t>
  </si>
  <si>
    <t>bromsgrove.gov.uk</t>
  </si>
  <si>
    <t>broxbourne.gov.uk</t>
  </si>
  <si>
    <t>broxtowe.gov.uk</t>
  </si>
  <si>
    <t>buckscc.gov.uk</t>
  </si>
  <si>
    <t>bucksfire.gov.uk</t>
  </si>
  <si>
    <t>burnley.gov.uk</t>
  </si>
  <si>
    <t>bury.gov.uk</t>
  </si>
  <si>
    <t>hscni.net</t>
  </si>
  <si>
    <t>buyingsolutions.gsi.gov.uk</t>
  </si>
  <si>
    <t>caerphilly.gov.uk</t>
  </si>
  <si>
    <t>cafcass.gov.uk</t>
  </si>
  <si>
    <t>calderdale.gov.uk</t>
  </si>
  <si>
    <t>calderdale-pct.nhs.uk</t>
  </si>
  <si>
    <t>calderstones.nhs.uk</t>
  </si>
  <si>
    <t>cambridge.gov.uk</t>
  </si>
  <si>
    <t>cambridgeshire.gov.uk</t>
  </si>
  <si>
    <t>cambs.pnn.police.uk</t>
  </si>
  <si>
    <t>camden.gov.uk</t>
  </si>
  <si>
    <t>cannockchasedc.gov.uk</t>
  </si>
  <si>
    <t>canterbury.gov.uk</t>
  </si>
  <si>
    <t>cardiff.gov.uk</t>
  </si>
  <si>
    <t>cardiffandvale.wales.nhs.uk</t>
  </si>
  <si>
    <t>wales.nhs.uk</t>
  </si>
  <si>
    <t xml:space="preserve">carlisle.gov.uk </t>
  </si>
  <si>
    <t>carmarthenshire.gov.uk</t>
  </si>
  <si>
    <t>castlepoint.gov.uk</t>
  </si>
  <si>
    <t xml:space="preserve">cecpct.nhs.uk </t>
  </si>
  <si>
    <t>centralbedfordshire.gov.uk</t>
  </si>
  <si>
    <t>coi.gsi.gov.uk</t>
  </si>
  <si>
    <t>centralscotlandfire.gov.uk</t>
  </si>
  <si>
    <t>ceredigion.gov.uk</t>
  </si>
  <si>
    <t>charnwood.gov.uk</t>
  </si>
  <si>
    <t>chelmsford.gov.uk</t>
  </si>
  <si>
    <t>chelwest.nhs.uk</t>
  </si>
  <si>
    <t>cheltenham.gov.uk</t>
  </si>
  <si>
    <t>cherwell-dc.gov.uk</t>
  </si>
  <si>
    <t>cheshireeast.gov.uk</t>
  </si>
  <si>
    <t>cheshirefire.gov.uk</t>
  </si>
  <si>
    <t>cheshire.pnn.police.uk</t>
  </si>
  <si>
    <t>cheshirewestandchester.gov.uk</t>
  </si>
  <si>
    <t>chesterfield.gov.uk</t>
  </si>
  <si>
    <t>chichester.gov.uk</t>
  </si>
  <si>
    <t>chiltern.gov.uk</t>
  </si>
  <si>
    <t>chorley.gov.uk</t>
  </si>
  <si>
    <t>christchurch.gov.uk</t>
  </si>
  <si>
    <t>cipfa.org.uk</t>
  </si>
  <si>
    <t>circleanglia.org</t>
  </si>
  <si>
    <t>circle.org.uk</t>
  </si>
  <si>
    <t>chpct.nhs.uk</t>
  </si>
  <si>
    <t>cityoflondon.gov.uk</t>
  </si>
  <si>
    <t>cityoflondon.pnn.police.uk</t>
  </si>
  <si>
    <t>clacks.gov.uk</t>
  </si>
  <si>
    <t>ccotrust.nhs.uk</t>
  </si>
  <si>
    <t>clevelandfire.gov.uk</t>
  </si>
  <si>
    <t>cleveland.pnn.police.uk</t>
  </si>
  <si>
    <t>communities.gsi.gov.uk</t>
  </si>
  <si>
    <t>colchester.gov.uk</t>
  </si>
  <si>
    <t>ruralcommunities.gov.uk</t>
  </si>
  <si>
    <t>cc.gsi.gov.uk</t>
  </si>
  <si>
    <t>conwy.gov.uk</t>
  </si>
  <si>
    <t>copeland.gov.uk</t>
  </si>
  <si>
    <t>corby.gov.uk</t>
  </si>
  <si>
    <t>cornwall.gov.uk</t>
  </si>
  <si>
    <t>cotswold.gov.uk</t>
  </si>
  <si>
    <t>coch.nhs.uk</t>
  </si>
  <si>
    <t>coventry.gov.uk</t>
  </si>
  <si>
    <t>cps.gsi.gov.uk</t>
  </si>
  <si>
    <t>cravendc.gov.uk</t>
  </si>
  <si>
    <t>crawley.gov.uk</t>
  </si>
  <si>
    <t>crb.gsi.gov.uk</t>
  </si>
  <si>
    <t>croydon.gov.uk</t>
  </si>
  <si>
    <t>cumbria.gov.uk</t>
  </si>
  <si>
    <t>cumbria.police.uk</t>
  </si>
  <si>
    <t>cumbria.nhs.uk</t>
  </si>
  <si>
    <t>cwdcouncil.org.uk</t>
  </si>
  <si>
    <t>dacorum.gov.uk</t>
  </si>
  <si>
    <t>darlington.gov.uk</t>
  </si>
  <si>
    <t>dartford.gov.uk</t>
  </si>
  <si>
    <t>daventrydc.gov.uk</t>
  </si>
  <si>
    <t>culture.gsi.gov.uk</t>
  </si>
  <si>
    <t>dcsf.gsi.gov.uk</t>
  </si>
  <si>
    <t>defra.gsi.gov.uk</t>
  </si>
  <si>
    <t>denbighshire.gov.uk</t>
  </si>
  <si>
    <t>derby.gov.uk</t>
  </si>
  <si>
    <t>derbyhospitals.nhs.uk</t>
  </si>
  <si>
    <t>derbyshire.gov.uk</t>
  </si>
  <si>
    <t>derbyshiredales.gov.uk</t>
  </si>
  <si>
    <t>derbys-fire.gov.uk</t>
  </si>
  <si>
    <t>derbyshire.pnn.police.uk</t>
  </si>
  <si>
    <t>derwentsidehomes.co.uk</t>
  </si>
  <si>
    <t>devon.gov.uk</t>
  </si>
  <si>
    <t>devonandcornwall.pnn.police.uk</t>
  </si>
  <si>
    <t>dsfire.gov.uk</t>
  </si>
  <si>
    <t>dfid.gov.uk</t>
  </si>
  <si>
    <t>dh.gsi.gov.uk</t>
  </si>
  <si>
    <t>dius.gsi.gov.uk</t>
  </si>
  <si>
    <t>doncaster.gov.uk</t>
  </si>
  <si>
    <t>doncasterpct.nhs.uk</t>
  </si>
  <si>
    <t>dorsetcc.gov.uk</t>
  </si>
  <si>
    <t>dorsetfire.gov.uk</t>
  </si>
  <si>
    <t>dchft.nhs.uk</t>
  </si>
  <si>
    <t>Dorset.pnn.police.uk</t>
  </si>
  <si>
    <t>dover.gov.uk</t>
  </si>
  <si>
    <t>dsa.gsi.gov.uk</t>
  </si>
  <si>
    <t>dstl.gov.uk</t>
  </si>
  <si>
    <t>dudley.gov.uk</t>
  </si>
  <si>
    <t>dgoh.nhs.uk</t>
  </si>
  <si>
    <t>dumgal.gov.uk</t>
  </si>
  <si>
    <t>dundeecity.gov.uk</t>
  </si>
  <si>
    <t>durham.gov.uk</t>
  </si>
  <si>
    <t>durham.pnn.police.uk</t>
  </si>
  <si>
    <t>dvla.gsi.gov.uk</t>
  </si>
  <si>
    <t>dyfed-powys.pnn.police.uk</t>
  </si>
  <si>
    <t>ealing.gov.uk</t>
  </si>
  <si>
    <t>RWH</t>
  </si>
  <si>
    <t>East &amp; North Hertfordshire NHS Trust</t>
  </si>
  <si>
    <t>east-ayrshire.gov.uk</t>
  </si>
  <si>
    <t>eastcambs.gov.uk</t>
  </si>
  <si>
    <t>echeshire-tr.nwest.nhs.uk</t>
  </si>
  <si>
    <t>eastdevon.gov.uk</t>
  </si>
  <si>
    <t>eastdorset.gov.uk</t>
  </si>
  <si>
    <t>easthants.gov.uk</t>
  </si>
  <si>
    <t>eastherts.gov.uk</t>
  </si>
  <si>
    <t>elht.nhs.uk</t>
  </si>
  <si>
    <t>eastlancspct.nhs.uk</t>
  </si>
  <si>
    <t>e-lindsey.gov.uk</t>
  </si>
  <si>
    <t>east-northamptonshire.gov.uk</t>
  </si>
  <si>
    <t>eastrenfrewshire.gov.uk</t>
  </si>
  <si>
    <t>eastriding.gov.uk</t>
  </si>
  <si>
    <t>eaststaffsbc.gov.uk</t>
  </si>
  <si>
    <t>eastsussex.gov.uk</t>
  </si>
  <si>
    <t>esfrs.org</t>
  </si>
  <si>
    <t>eastbourne.gov.uk</t>
  </si>
  <si>
    <t>eastleigh.gov.uk</t>
  </si>
  <si>
    <t>eden.gov.uk</t>
  </si>
  <si>
    <t>edinburgh.gov.uk</t>
  </si>
  <si>
    <t>eeda.org.uk</t>
  </si>
  <si>
    <t>electoralcommission.org.uk</t>
  </si>
  <si>
    <t>elmbridge.gov.uk</t>
  </si>
  <si>
    <t>emd.org.uk</t>
  </si>
  <si>
    <t>enfield.gov.uk</t>
  </si>
  <si>
    <t>environment-agency.gov.uk</t>
  </si>
  <si>
    <t>eppingforestdc.gov.uk</t>
  </si>
  <si>
    <t>epsom-ewell.gov.uk</t>
  </si>
  <si>
    <t>esth.nhs.uk</t>
  </si>
  <si>
    <t>erewash.gov.uk</t>
  </si>
  <si>
    <t>essex.gov.uk</t>
  </si>
  <si>
    <t>essex-fire.gov.uk</t>
  </si>
  <si>
    <t>essex.pnn.police.uk</t>
  </si>
  <si>
    <t>exeter.gov.uk</t>
  </si>
  <si>
    <t>ecgd.gsi.gov.uk</t>
  </si>
  <si>
    <t>fabrickgroup.co.uk</t>
  </si>
  <si>
    <t>falkirk.gov.uk</t>
  </si>
  <si>
    <t>fareham.gov.uk</t>
  </si>
  <si>
    <t xml:space="preserve">fenland.gov.uk </t>
  </si>
  <si>
    <t>fife.gov.uk</t>
  </si>
  <si>
    <t>fsa.gov.uk</t>
  </si>
  <si>
    <t>fireservicecollege.ac.uk</t>
  </si>
  <si>
    <t>firstwessex.org</t>
  </si>
  <si>
    <t>flintshire.gov.uk</t>
  </si>
  <si>
    <t>fco.gov.uk</t>
  </si>
  <si>
    <t>forest-heath.gov.uk</t>
  </si>
  <si>
    <t>fdean.gov.uk</t>
  </si>
  <si>
    <t>forestry.gsi.gov.uk</t>
  </si>
  <si>
    <t>fylde.gov.uk</t>
  </si>
  <si>
    <t>gad.gov.uk</t>
  </si>
  <si>
    <t>gamblingcommission.gov.uk</t>
  </si>
  <si>
    <t>gateshead.gov.uk</t>
  </si>
  <si>
    <t>gchq.gsi.gov.uk</t>
  </si>
  <si>
    <t>gedling.gov.uk</t>
  </si>
  <si>
    <t>glasgow.gov.uk</t>
  </si>
  <si>
    <t>gloucester.gov.uk</t>
  </si>
  <si>
    <t>gloucestershire.gov.uk</t>
  </si>
  <si>
    <t>gloucestershire.police.uk</t>
  </si>
  <si>
    <t>RTE</t>
  </si>
  <si>
    <t>gosport.gov.uk</t>
  </si>
  <si>
    <t>rcu.gsi.gov.uk</t>
  </si>
  <si>
    <t>gmw.nhs.uk</t>
  </si>
  <si>
    <t>grampian.pnn.police.uk</t>
  </si>
  <si>
    <t>gravesham.gov.uk</t>
  </si>
  <si>
    <t>RX5</t>
  </si>
  <si>
    <t>gwh.nhs.uk</t>
  </si>
  <si>
    <t>great-yarmouth.gov.uk</t>
  </si>
  <si>
    <t>manchesterfire.gov.uk</t>
  </si>
  <si>
    <t>gmp.police.uk</t>
  </si>
  <si>
    <t>connexionslive.com</t>
  </si>
  <si>
    <t>greenwich.gov.uk</t>
  </si>
  <si>
    <t>guildford.gov.uk</t>
  </si>
  <si>
    <t>gwent.pnn.police.uk</t>
  </si>
  <si>
    <t>gwynedd.gov.uk</t>
  </si>
  <si>
    <t>hackney.gov.uk</t>
  </si>
  <si>
    <t>halton.gov.uk</t>
  </si>
  <si>
    <t>hambleton.gov.uk</t>
  </si>
  <si>
    <t>lbhf.gov.uk</t>
  </si>
  <si>
    <t>hants.gov.uk</t>
  </si>
  <si>
    <t>hantsfire.gov.uk</t>
  </si>
  <si>
    <t>hampshire.pnn.police.uk</t>
  </si>
  <si>
    <t>harborough.gov.uk</t>
  </si>
  <si>
    <t>haringey.gov.uk</t>
  </si>
  <si>
    <t>harlow.gov.uk</t>
  </si>
  <si>
    <t>harrogate.gov.uk</t>
  </si>
  <si>
    <t>harrow.gov.uk</t>
  </si>
  <si>
    <t>hart.gov.uk</t>
  </si>
  <si>
    <t>hartlepool.gov.uk</t>
  </si>
  <si>
    <t>hartlepool.nhs.uk</t>
  </si>
  <si>
    <t>hastings.gov.uk</t>
  </si>
  <si>
    <t>havant.gov.uk</t>
  </si>
  <si>
    <t>havering.gov.uk</t>
  </si>
  <si>
    <t>hca.gsx.gov.uk</t>
  </si>
  <si>
    <t>hwph-tr.nhs.uk</t>
  </si>
  <si>
    <t>hefce.ac.uk</t>
  </si>
  <si>
    <t>herefordshire.gov.uk</t>
  </si>
  <si>
    <t>hertscc.gov.uk</t>
  </si>
  <si>
    <t>herts.pnn.police.uk</t>
  </si>
  <si>
    <t>hertsmere.gov.uk</t>
  </si>
  <si>
    <t>highpeak.gov.uk</t>
  </si>
  <si>
    <t>highland.gov.uk</t>
  </si>
  <si>
    <t>hillingdon.gov.uk</t>
  </si>
  <si>
    <t>thh.nhs.uk</t>
  </si>
  <si>
    <t>hinckley-bosworth.gov.uk</t>
  </si>
  <si>
    <t>scotland.gsi.gov.uk</t>
  </si>
  <si>
    <t>hmrc.gsi.gov.uk</t>
  </si>
  <si>
    <t>homeoffice.gsi.gov.uk</t>
  </si>
  <si>
    <t>horsham.gov.uk</t>
  </si>
  <si>
    <t>hounslow.gov.uk</t>
  </si>
  <si>
    <t>hse.gsi.gov.uk</t>
  </si>
  <si>
    <t>hullcc.gov.uk</t>
  </si>
  <si>
    <t>humbersidefire.gov.uk</t>
  </si>
  <si>
    <t>humberside.pnn.police.uk</t>
  </si>
  <si>
    <t>huntsdc.gov.uk</t>
  </si>
  <si>
    <t>hyndburnbc.gov.uk</t>
  </si>
  <si>
    <t>ilf.org.uk</t>
  </si>
  <si>
    <t>inverclyde.gov.uk</t>
  </si>
  <si>
    <t>iow.nhs.uk</t>
  </si>
  <si>
    <t>ipcc.gsi.gov.uk</t>
  </si>
  <si>
    <t>ips.gsi.gov.uk</t>
  </si>
  <si>
    <t>ipswich.gov.uk</t>
  </si>
  <si>
    <t>iow.gov.uk</t>
  </si>
  <si>
    <t>islington.gov.uk</t>
  </si>
  <si>
    <t>rbkc.gov.uk</t>
  </si>
  <si>
    <t>kent.gov.uk</t>
  </si>
  <si>
    <t>kmpt.nhs.uk</t>
  </si>
  <si>
    <t>kent.fire-uk.org</t>
  </si>
  <si>
    <t>kent.pnn.police.uk</t>
  </si>
  <si>
    <t>kettering.gov.uk</t>
  </si>
  <si>
    <t>west-norfolk.gov.uk</t>
  </si>
  <si>
    <t>rbk.kingston.gov.uk</t>
  </si>
  <si>
    <t>kirklees.gov.uk</t>
  </si>
  <si>
    <t>knowsley.gov.uk</t>
  </si>
  <si>
    <t>knowsley.nhs.uk</t>
  </si>
  <si>
    <t xml:space="preserve">lakedistrict.gov.uk </t>
  </si>
  <si>
    <t>lambeth.gov.uk</t>
  </si>
  <si>
    <t>lancashire.gov.uk</t>
  </si>
  <si>
    <t>lancsfirerescue.org.uk</t>
  </si>
  <si>
    <t>lancashire.pnn.police.uk</t>
  </si>
  <si>
    <t>lancaster.gov.uk</t>
  </si>
  <si>
    <t>lancashirecare.nhs.uk</t>
  </si>
  <si>
    <t>landregistry.gsi.gov.uk</t>
  </si>
  <si>
    <t>lda.gov.uk</t>
  </si>
  <si>
    <t>leeds.gov.uk</t>
  </si>
  <si>
    <t>legalservices.gsi.gov.uk</t>
  </si>
  <si>
    <t>leicester.gov.uk</t>
  </si>
  <si>
    <t>lfrs.org</t>
  </si>
  <si>
    <t>leics.gov.uk</t>
  </si>
  <si>
    <t>connexions-leics.org</t>
  </si>
  <si>
    <t>lewes.gov.uk</t>
  </si>
  <si>
    <t>lewisham.gov.uk</t>
  </si>
  <si>
    <t>uhl.nhs.uk</t>
  </si>
  <si>
    <t>lha-asra.org.uk</t>
  </si>
  <si>
    <t>lichfielddc.gov.uk</t>
  </si>
  <si>
    <t>lincoln.gov.uk</t>
  </si>
  <si>
    <t>lincolnshire.gov.uk</t>
  </si>
  <si>
    <t>lincoln.fire-uk.org</t>
  </si>
  <si>
    <t>lincs.pnn.police.uk</t>
  </si>
  <si>
    <t>liverpool.gov.uk</t>
  </si>
  <si>
    <t>lhch.nhs.uk</t>
  </si>
  <si>
    <t>liverpoolpct.nhs.uk</t>
  </si>
  <si>
    <t>lwh.nhs.uk</t>
  </si>
  <si>
    <t>london-fire.gov.uk</t>
  </si>
  <si>
    <t>lbp.pnn.police.uk</t>
  </si>
  <si>
    <t>luton.gov.uk</t>
  </si>
  <si>
    <t>maidstone.gov.uk</t>
  </si>
  <si>
    <t>maldon.gov.uk</t>
  </si>
  <si>
    <t>malvernhills.gov.uk</t>
  </si>
  <si>
    <t>manchester.gov.uk</t>
  </si>
  <si>
    <t>mansfield.gov.uk</t>
  </si>
  <si>
    <t>medway.gov.uk</t>
  </si>
  <si>
    <t>melton.gov.uk</t>
  </si>
  <si>
    <t>mendip.gov.uk</t>
  </si>
  <si>
    <t>merlinhs.co.uk</t>
  </si>
  <si>
    <t>merseycare.nhs.uk</t>
  </si>
  <si>
    <t>merseyfire.gov.uk</t>
  </si>
  <si>
    <t>merseyside.pnn.police.uk</t>
  </si>
  <si>
    <t>merseytravel.gov.uk</t>
  </si>
  <si>
    <t>merthyr.gov.uk</t>
  </si>
  <si>
    <t>merton.gov.uk</t>
  </si>
  <si>
    <t>met.police.uk</t>
  </si>
  <si>
    <t>mcht.nhs.uk</t>
  </si>
  <si>
    <t>middevon.gov.uk</t>
  </si>
  <si>
    <t>midsuffolk.gov.uk</t>
  </si>
  <si>
    <t>midsussex.gov.uk</t>
  </si>
  <si>
    <t>middlesbrough.gov.uk</t>
  </si>
  <si>
    <t>middlesbroughpct.nhs.uk</t>
  </si>
  <si>
    <t>milton-keynes.gov.uk</t>
  </si>
  <si>
    <t>mod.uk</t>
  </si>
  <si>
    <t>molevalley.gov.uk</t>
  </si>
  <si>
    <t>monmouthshire.gov.uk</t>
  </si>
  <si>
    <t>mopac.london.gov.uk</t>
  </si>
  <si>
    <t>chief.moray.gov.uk</t>
  </si>
  <si>
    <t>nao.gsi.gov.uk</t>
  </si>
  <si>
    <t>nationalarchives.gsi.gov.uk</t>
  </si>
  <si>
    <t>nationalschool.gsi.gov.uk</t>
  </si>
  <si>
    <t>nationaltrust.org.uk</t>
  </si>
  <si>
    <t>ncsl.org.uk</t>
  </si>
  <si>
    <t>npt.gov.uk</t>
  </si>
  <si>
    <t>nfdc.gov.uk</t>
  </si>
  <si>
    <t>nsdc.info</t>
  </si>
  <si>
    <t>newcastle.gov.uk</t>
  </si>
  <si>
    <t>newcastle-staffs.gov.uk</t>
  </si>
  <si>
    <t>newham.gov.uk</t>
  </si>
  <si>
    <t>5C5</t>
  </si>
  <si>
    <t>newport.gov.uk</t>
  </si>
  <si>
    <t>nhs24.scot.nhs.uk</t>
  </si>
  <si>
    <t>nhsbt.nhs.uk</t>
  </si>
  <si>
    <t>RYF</t>
  </si>
  <si>
    <t>NHSDirect.nhs.uk</t>
  </si>
  <si>
    <t>5QH</t>
  </si>
  <si>
    <t>ic.nhs.uk</t>
  </si>
  <si>
    <t>lpct.nhs.uk</t>
  </si>
  <si>
    <t>northlancs.nhs.uk</t>
  </si>
  <si>
    <t>ppa.nhs.uk</t>
  </si>
  <si>
    <t>norfolk.gov.uk</t>
  </si>
  <si>
    <t>norfolk.pnn.police.uk</t>
  </si>
  <si>
    <t>ncumbria-acute.nhs.uk</t>
  </si>
  <si>
    <t>northdevon.gov.uk</t>
  </si>
  <si>
    <t>north-dorset.gov.uk</t>
  </si>
  <si>
    <t>ne-derbyshire.gov.uk</t>
  </si>
  <si>
    <t>neessexpct.nhs.uk</t>
  </si>
  <si>
    <t>nelincs.gov.uk</t>
  </si>
  <si>
    <t>nelft.nhs.uk</t>
  </si>
  <si>
    <t>north-herts.gov.uk</t>
  </si>
  <si>
    <t>n-kesteven.gov.uk</t>
  </si>
  <si>
    <t>northlan.gov.uk</t>
  </si>
  <si>
    <t>northlincs.gov.uk</t>
  </si>
  <si>
    <t>north-norfolk.gov.uk</t>
  </si>
  <si>
    <t>n-somerset.gov.uk</t>
  </si>
  <si>
    <t>northtyneside.gov.uk</t>
  </si>
  <si>
    <t>nthwales.pnn.police.uk</t>
  </si>
  <si>
    <t>northwarks.gov.uk</t>
  </si>
  <si>
    <t>nwleicestershire.gov.uk</t>
  </si>
  <si>
    <t>northyorks.gov.uk</t>
  </si>
  <si>
    <t>nyypct.nhs.uk</t>
  </si>
  <si>
    <t>northyorksfire.gov.uk</t>
  </si>
  <si>
    <t>northyorkshire.pnn.police.uk</t>
  </si>
  <si>
    <t>northampton.gov.uk</t>
  </si>
  <si>
    <t>ngh.nhs.uk</t>
  </si>
  <si>
    <t>northamptonshire.gov.uk</t>
  </si>
  <si>
    <t>northants.police.uk</t>
  </si>
  <si>
    <t>nifrs.org</t>
  </si>
  <si>
    <t>nihe.gov.uk</t>
  </si>
  <si>
    <t>psni.pnn.police.uk</t>
  </si>
  <si>
    <t>nlg.nhs.uk</t>
  </si>
  <si>
    <t>northumberland.gov.uk</t>
  </si>
  <si>
    <t>northumbria.pnn.police.uk</t>
  </si>
  <si>
    <t>norwich.gov.uk</t>
  </si>
  <si>
    <t>nottinghamcity.gov.uk</t>
  </si>
  <si>
    <t>nottscc.gov.uk</t>
  </si>
  <si>
    <t>notts-fire.gov.uk</t>
  </si>
  <si>
    <t>Nottinghamshire.pnn.police.uk</t>
  </si>
  <si>
    <t>npia.pnn.police.uk</t>
  </si>
  <si>
    <t>npsa.nhs.uk</t>
  </si>
  <si>
    <t>nsandi.com</t>
  </si>
  <si>
    <t>ntw.nhs.uk</t>
  </si>
  <si>
    <t>nuneatonandbedworth.gov.uk</t>
  </si>
  <si>
    <t>nwda.co.uk</t>
  </si>
  <si>
    <t>oadby-wigston.gov.uk</t>
  </si>
  <si>
    <t>ofsted.gov.uk</t>
  </si>
  <si>
    <t>onenortheast.co.uk</t>
  </si>
  <si>
    <t>ons.gsi.gov.uk</t>
  </si>
  <si>
    <t>ordnancesurvey.co.uk</t>
  </si>
  <si>
    <t>orkney.gov.uk</t>
  </si>
  <si>
    <t>obmh.nhs.uk</t>
  </si>
  <si>
    <t>oxford.gov.uk</t>
  </si>
  <si>
    <t>oxfordshire.gov.uk</t>
  </si>
  <si>
    <t>ombudsman.org.uk</t>
  </si>
  <si>
    <t>papworth.nhs.uk</t>
  </si>
  <si>
    <t>peakdistrict.gov.uk</t>
  </si>
  <si>
    <t>pembrokeshire.gov.uk</t>
  </si>
  <si>
    <t>pendle.gov.uk</t>
  </si>
  <si>
    <t>pat.nhs.uk</t>
  </si>
  <si>
    <t>peterborough.gov.uk</t>
  </si>
  <si>
    <t>partnershipsforschools.org.uk</t>
  </si>
  <si>
    <t>pins.gsi.gov.uk</t>
  </si>
  <si>
    <t>plymouth.gov.uk</t>
  </si>
  <si>
    <t>plymouthcommunityhomes.co.uk</t>
  </si>
  <si>
    <t>phnt.swest.nhs.uk</t>
  </si>
  <si>
    <t>plymouth.nhs.uk</t>
  </si>
  <si>
    <t>poole.gov.uk</t>
  </si>
  <si>
    <t>portsmouthcc.gov.uk</t>
  </si>
  <si>
    <t>porthosp.nhs.uk</t>
  </si>
  <si>
    <t>powys.gov.uk</t>
  </si>
  <si>
    <t>preston.gov.uk</t>
  </si>
  <si>
    <t>purbeck-dc.gov.uk</t>
  </si>
  <si>
    <t>qcda.gov.uk</t>
  </si>
  <si>
    <t>rcpo.gsi.gov.uk</t>
  </si>
  <si>
    <t>orr.gsi.gov.uk</t>
  </si>
  <si>
    <t>reading.gov.uk</t>
  </si>
  <si>
    <t>redbridge.gov.uk</t>
  </si>
  <si>
    <t>redbridge-pct.nhs.uk</t>
  </si>
  <si>
    <t>redcar-cleveland.gov.uk</t>
  </si>
  <si>
    <t>rcpct.nhs.uk</t>
  </si>
  <si>
    <t>redditchbc.gov.uk</t>
  </si>
  <si>
    <t>reigate-banstead.gov.uk</t>
  </si>
  <si>
    <t>renfrewshire.gov.uk</t>
  </si>
  <si>
    <t>rctcbc.gov.uk</t>
  </si>
  <si>
    <t>ribblevalley.gov.uk</t>
  </si>
  <si>
    <t>richmond.gov.uk</t>
  </si>
  <si>
    <t>richmondshire.gov.uk</t>
  </si>
  <si>
    <t>rjah.nhs.uk</t>
  </si>
  <si>
    <t>rochdale.gov.uk</t>
  </si>
  <si>
    <t>rochford.gov.uk</t>
  </si>
  <si>
    <t>rossendalebc.gov.uk</t>
  </si>
  <si>
    <t>rother.gov.uk</t>
  </si>
  <si>
    <t>rotherham.gov.uk</t>
  </si>
  <si>
    <t>Rotherhampct.nhs.uk</t>
  </si>
  <si>
    <t>rcht.cornwall.nhs.uk</t>
  </si>
  <si>
    <t>rdeft.nhs.uk</t>
  </si>
  <si>
    <t>rlbuht.nhs.uk</t>
  </si>
  <si>
    <t>rnoh.nhs.uk</t>
  </si>
  <si>
    <t>rwh-tr.nhs.uk</t>
  </si>
  <si>
    <t>rugby.gov.uk</t>
  </si>
  <si>
    <t>runnymede.gov.uk</t>
  </si>
  <si>
    <t>rushcliffe.gov.uk</t>
  </si>
  <si>
    <t>rushmoor.gov.uk</t>
  </si>
  <si>
    <t>rutland.gov.uk</t>
  </si>
  <si>
    <t>ryedale.gov.uk</t>
  </si>
  <si>
    <t>salford.gov.uk</t>
  </si>
  <si>
    <t>salford.nhs.uk</t>
  </si>
  <si>
    <t>sandwell.gov.uk</t>
  </si>
  <si>
    <t>scarborough.gov.uk</t>
  </si>
  <si>
    <t>scotborders.gov.uk</t>
  </si>
  <si>
    <t>scotcourts.gov.uk</t>
  </si>
  <si>
    <t>snh.gov.uk</t>
  </si>
  <si>
    <t>seelb.org.uk</t>
  </si>
  <si>
    <t>sedgemoor.gov.uk</t>
  </si>
  <si>
    <t>seeda.co.uk</t>
  </si>
  <si>
    <t>sefton.gov.uk</t>
  </si>
  <si>
    <t>sefton.nhs.uk</t>
  </si>
  <si>
    <t>selby.gov.uk</t>
  </si>
  <si>
    <t>sepa.org.uk</t>
  </si>
  <si>
    <t>sevenoaks.gov.uk</t>
  </si>
  <si>
    <t>sft.gsi.gov.uk</t>
  </si>
  <si>
    <t>sheffield.gov.uk</t>
  </si>
  <si>
    <t>shepway.gov.uk</t>
  </si>
  <si>
    <t>shetland.gov.uk</t>
  </si>
  <si>
    <t>Sath.nhs.uk</t>
  </si>
  <si>
    <t>shropshire.gov.uk</t>
  </si>
  <si>
    <t xml:space="preserve">lsc.gov.uk
</t>
  </si>
  <si>
    <t>slough.gov.uk</t>
  </si>
  <si>
    <t>solihull.gov.uk</t>
  </si>
  <si>
    <t>somerset.gov.uk</t>
  </si>
  <si>
    <t>somersetpct.nhs.uk</t>
  </si>
  <si>
    <t>kpmg.co.uk</t>
  </si>
  <si>
    <t>southbucks.gov.uk</t>
  </si>
  <si>
    <t>scambs.gov.uk</t>
  </si>
  <si>
    <t>south-derbys.gov.uk</t>
  </si>
  <si>
    <t>setrust.hscni.net</t>
  </si>
  <si>
    <t>southglos.gov.uk</t>
  </si>
  <si>
    <t>southhams.gov.uk</t>
  </si>
  <si>
    <t>sholland.gov.uk</t>
  </si>
  <si>
    <t>southkesteven.gov.uk</t>
  </si>
  <si>
    <t>southlakeland.gov.uk</t>
  </si>
  <si>
    <t>southlanarkshire.gov.uk</t>
  </si>
  <si>
    <t>slam.nhs.uk</t>
  </si>
  <si>
    <t>s-norfolk.gov.uk</t>
  </si>
  <si>
    <t>southnorthants.gov.uk</t>
  </si>
  <si>
    <t>southoxon.gov.uk</t>
  </si>
  <si>
    <t>southribble.gov.uk</t>
  </si>
  <si>
    <t>southsomerset.gov.uk</t>
  </si>
  <si>
    <t>sstaffs.gov.uk</t>
  </si>
  <si>
    <t>southtyneside.gov.uk</t>
  </si>
  <si>
    <t>south-wales.pnn.police.uk</t>
  </si>
  <si>
    <t>swft.nhs.uk</t>
  </si>
  <si>
    <t>sypa.org.uk</t>
  </si>
  <si>
    <t>E6144</t>
  </si>
  <si>
    <t>Syfire.Org.Uk</t>
  </si>
  <si>
    <t>southyorks.pnn.police.uk</t>
  </si>
  <si>
    <t>E6344</t>
  </si>
  <si>
    <t>@sypte.co.uk</t>
  </si>
  <si>
    <t>southampton.gov.uk</t>
  </si>
  <si>
    <t>southend.gov.uk</t>
  </si>
  <si>
    <t>southportandormskirk.nhs.uk</t>
  </si>
  <si>
    <t>southwark.gov.uk</t>
  </si>
  <si>
    <t>spelthorne.gov.uk</t>
  </si>
  <si>
    <t>sportscotland.org.uk</t>
  </si>
  <si>
    <t>stalbans.gov.uk</t>
  </si>
  <si>
    <t>stedsbc.gov.uk</t>
  </si>
  <si>
    <t>sthelens.gov.uk</t>
  </si>
  <si>
    <t>sthk.nhs.uk</t>
  </si>
  <si>
    <t>staffordbc.gov.uk</t>
  </si>
  <si>
    <t>staffordshire.gov.uk</t>
  </si>
  <si>
    <t>staffordshirefire.gov.uk</t>
  </si>
  <si>
    <t>staffsmoorlands.gov.uk</t>
  </si>
  <si>
    <t>staffordshire.pnn.police.uk</t>
  </si>
  <si>
    <t>stevenage.gov.uk</t>
  </si>
  <si>
    <t>stockport.gov.uk</t>
  </si>
  <si>
    <t>stockton.gov.uk</t>
  </si>
  <si>
    <t>stoke.gov.uk</t>
  </si>
  <si>
    <t>stratford-dc.gov.uk</t>
  </si>
  <si>
    <t>strathclydefire.org</t>
  </si>
  <si>
    <t>strathclyde.pnn.police.uk</t>
  </si>
  <si>
    <t>stroud.gov.uk</t>
  </si>
  <si>
    <t>@slc.co.uk</t>
  </si>
  <si>
    <t>suffolk.gov.uk</t>
  </si>
  <si>
    <t>suffolkcoastal.gov.uk</t>
  </si>
  <si>
    <t>suffolk.pnn.police.uk</t>
  </si>
  <si>
    <t>sunderland.gov.uk</t>
  </si>
  <si>
    <t>surreycc.gov.uk</t>
  </si>
  <si>
    <t>sspt.probation.gsi.gov.uk</t>
  </si>
  <si>
    <t>surreyheath.gov.uk</t>
  </si>
  <si>
    <t>surrey.pnn.police.uk</t>
  </si>
  <si>
    <t>sussex.pnn.police.uk</t>
  </si>
  <si>
    <t>sutton.gov.uk</t>
  </si>
  <si>
    <t>smpct.nhs.uk</t>
  </si>
  <si>
    <t>swlstg-tr.nhs.uk</t>
  </si>
  <si>
    <t>swale.gov.uk</t>
  </si>
  <si>
    <t>swansea.gov.uk</t>
  </si>
  <si>
    <t>southwestrda.org.uk</t>
  </si>
  <si>
    <t>swindon.gov.uk</t>
  </si>
  <si>
    <t>tameside.gov.uk</t>
  </si>
  <si>
    <t>tamworth.gov.uk</t>
  </si>
  <si>
    <t>tandridge.gov.uk</t>
  </si>
  <si>
    <t>tauntondeane.gov.uk</t>
  </si>
  <si>
    <t>tda.gov.uk</t>
  </si>
  <si>
    <t>teignbridge.gov.uk</t>
  </si>
  <si>
    <t>telford.gov.uk</t>
  </si>
  <si>
    <t>tendringdc.gov.uk</t>
  </si>
  <si>
    <t>testvalley.gov.uk</t>
  </si>
  <si>
    <t>tewkesbury.gov.uk</t>
  </si>
  <si>
    <t>thamesvalley.pnn.police.uk</t>
  </si>
  <si>
    <t>thanet.gov.uk</t>
  </si>
  <si>
    <t>thewaltoncentre.nhs.uk</t>
  </si>
  <si>
    <t>whittington.nhs.uk</t>
  </si>
  <si>
    <t>threerivers.gov.uk</t>
  </si>
  <si>
    <t>thurrock.gov.uk</t>
  </si>
  <si>
    <t>thurrocktgdc.org.uk</t>
  </si>
  <si>
    <t>tmbc.gov.uk</t>
  </si>
  <si>
    <t>torbay.gov.uk</t>
  </si>
  <si>
    <t>torfaen.gov.uk</t>
  </si>
  <si>
    <t>torridge.gov.uk</t>
  </si>
  <si>
    <t>towerhamlets.gov.uk</t>
  </si>
  <si>
    <t>trafford.gov.uk</t>
  </si>
  <si>
    <t>tfl.gov.uk</t>
  </si>
  <si>
    <t>hmtreasury.gsi.gov.uk</t>
  </si>
  <si>
    <t>tsol.gsi.gov.uk</t>
  </si>
  <si>
    <t>thls.org</t>
  </si>
  <si>
    <t>tsa.gsx.gov.uk</t>
  </si>
  <si>
    <t>Tunbridgewells.gov.uk</t>
  </si>
  <si>
    <t>twfire.gov.uk</t>
  </si>
  <si>
    <t>uclh.nhs.uk</t>
  </si>
  <si>
    <t>ukces.org.uk</t>
  </si>
  <si>
    <t>RTX</t>
  </si>
  <si>
    <t>mbht.nhs.uk</t>
  </si>
  <si>
    <t>ulh.nhs.uk</t>
  </si>
  <si>
    <t>london.ac.uk</t>
  </si>
  <si>
    <t>sussex.ac.uk</t>
  </si>
  <si>
    <t>uttlesford.gov.uk</t>
  </si>
  <si>
    <t>valeofglamorgan.gov.uk</t>
  </si>
  <si>
    <t>whitehorsedc.gov.uk</t>
  </si>
  <si>
    <t>voa.gsi.gov.uk</t>
  </si>
  <si>
    <t>vosa.gsi.gov.uk</t>
  </si>
  <si>
    <t>wakefield.gov.uk</t>
  </si>
  <si>
    <t>wdpct.nhs.uk</t>
  </si>
  <si>
    <t>walsall.gov.uk</t>
  </si>
  <si>
    <t>walthamforest.gov.uk</t>
  </si>
  <si>
    <t>wf-pct.nhs.uk</t>
  </si>
  <si>
    <t>wandsworth.gov.uk</t>
  </si>
  <si>
    <t>warrington.gov.uk</t>
  </si>
  <si>
    <t>nch.nhs.uk</t>
  </si>
  <si>
    <t>warwickdc.gov.uk</t>
  </si>
  <si>
    <t>warwickshire.gov.uk</t>
  </si>
  <si>
    <t>warwickshire.pnn.police.uk</t>
  </si>
  <si>
    <t>waveney.gov.uk</t>
  </si>
  <si>
    <t>waverley.gov.uk</t>
  </si>
  <si>
    <t>wealden.gov.uk</t>
  </si>
  <si>
    <t>wellingborough.gov.uk</t>
  </si>
  <si>
    <t>welhat.gov.uk</t>
  </si>
  <si>
    <t>westberks.gov.uk</t>
  </si>
  <si>
    <t>westdevon.gov.uk</t>
  </si>
  <si>
    <t>westdorset-dc.gov.uk</t>
  </si>
  <si>
    <t>whht.nhs.uk</t>
  </si>
  <si>
    <t>westlancs.gov.uk</t>
  </si>
  <si>
    <t>west-lindsey.gov.uk</t>
  </si>
  <si>
    <t>wlmht.nhs.uk</t>
  </si>
  <si>
    <t>westlothian.gov.uk</t>
  </si>
  <si>
    <t>westmercia.pnn.police.uk</t>
  </si>
  <si>
    <t>wmfs.net</t>
  </si>
  <si>
    <t>west-midlands.pnn.police.uk</t>
  </si>
  <si>
    <t>westoxon.gov.uk</t>
  </si>
  <si>
    <t xml:space="preserve">westsomerset.gov.uk </t>
  </si>
  <si>
    <t>westsussex.gov.uk</t>
  </si>
  <si>
    <t>westyorksfire.gov.uk</t>
  </si>
  <si>
    <t>westyorkshire.pnn.police.uk</t>
  </si>
  <si>
    <t>westminster.gov.uk</t>
  </si>
  <si>
    <t>weymouth.gov.uk</t>
  </si>
  <si>
    <t>wigan.gov.uk</t>
  </si>
  <si>
    <t>wiltshire.gov.uk</t>
  </si>
  <si>
    <t>wiltsfire.gov.uk</t>
  </si>
  <si>
    <t>wiltshire.pnn.police.uk</t>
  </si>
  <si>
    <t>winchester.gov.uk</t>
  </si>
  <si>
    <t>rbwm.gov.uk</t>
  </si>
  <si>
    <t>wirral.gov.uk</t>
  </si>
  <si>
    <t>woking.gov.uk</t>
  </si>
  <si>
    <t>wokingham.gov.uk</t>
  </si>
  <si>
    <t>wolverhampton.gov.uk</t>
  </si>
  <si>
    <t>wolvespct.nhs.uk</t>
  </si>
  <si>
    <t>worcester.gov.uk</t>
  </si>
  <si>
    <t>worcestershire.gov.uk</t>
  </si>
  <si>
    <t>worthing.gov.uk</t>
  </si>
  <si>
    <t>wrexham.gov.uk</t>
  </si>
  <si>
    <t>wychavon.gov.uk</t>
  </si>
  <si>
    <t>wycombe.gov.uk</t>
  </si>
  <si>
    <t>wyrebc.gov.uk</t>
  </si>
  <si>
    <t>wyreforestdc.gov.uk</t>
  </si>
  <si>
    <t>communityhg.com</t>
  </si>
  <si>
    <t>york.gov.uk</t>
  </si>
  <si>
    <t>yorkshire-forward.com</t>
  </si>
  <si>
    <t>EmailMaster</t>
  </si>
  <si>
    <r>
      <t xml:space="preserve">To receive full service and discounts, please email this file by </t>
    </r>
    <r>
      <rPr>
        <b/>
        <sz val="10"/>
        <rFont val="Verdana"/>
        <family val="2"/>
      </rPr>
      <t>31st January 2013</t>
    </r>
    <r>
      <rPr>
        <sz val="10"/>
        <rFont val="Verdana"/>
        <family val="2"/>
      </rPr>
      <t xml:space="preserve"> to</t>
    </r>
  </si>
  <si>
    <t>(1)</t>
  </si>
  <si>
    <t>(2)</t>
  </si>
  <si>
    <t>(3)</t>
  </si>
  <si>
    <t>(4)</t>
  </si>
  <si>
    <t>(5)</t>
  </si>
  <si>
    <t>(6)</t>
  </si>
  <si>
    <t>(7)</t>
  </si>
  <si>
    <t>(8)</t>
  </si>
  <si>
    <t>(9)</t>
  </si>
  <si>
    <t>(10)</t>
  </si>
  <si>
    <t>(11)</t>
  </si>
  <si>
    <t>(12)</t>
  </si>
  <si>
    <t>(13)</t>
  </si>
  <si>
    <t>(14)</t>
  </si>
  <si>
    <t>(15)</t>
  </si>
  <si>
    <t>(16)</t>
  </si>
  <si>
    <t>Please read the terms and conditions.</t>
  </si>
  <si>
    <t>Please complete the Club Contacts screen, naming a lead officer for each club chosen - see terms and conditions (9).</t>
  </si>
  <si>
    <t>Membership</t>
  </si>
  <si>
    <t>CBO</t>
  </si>
  <si>
    <t>5F5</t>
  </si>
  <si>
    <t>Salford PCT</t>
  </si>
  <si>
    <t>SFT</t>
  </si>
  <si>
    <t>School Food Trust</t>
  </si>
  <si>
    <t>SEPA</t>
  </si>
  <si>
    <t>E4504BT</t>
  </si>
  <si>
    <t>South Tyneside (BTGS)</t>
  </si>
  <si>
    <t>Membership may be available at CIPFA's discretion for organisations wanting to join after the deadline for the return of club data and this may be subject to a price surcharge.</t>
  </si>
  <si>
    <t>Club output will not be available if you do not contribute valid data.</t>
  </si>
  <si>
    <t xml:space="preserve">Data received after the deadline for the return of club data will be processed at CIPFA’s discretion and may be subject to a surcharge. </t>
  </si>
  <si>
    <t>Where data is so late that the other club members have not been able to benefit from it, the only report issued will be the comparison against all members (or by tier where relevant).  The identities of the other members returning data will not be revealed, and the club database, interactive report and scrapbook will be withheld.</t>
  </si>
  <si>
    <t>CIPFA reserves the right to use data from this exercise to inform other work and data may be made available to third parties on an anonymised basis.  However, an individual organisation's data will not be publicly identified without prior permission.</t>
  </si>
  <si>
    <t>South Yorkshire Fire and Rescue</t>
  </si>
  <si>
    <t>RNK</t>
  </si>
  <si>
    <t>West Middlesex University Hospital NHS Trust</t>
  </si>
  <si>
    <t>RFW</t>
  </si>
  <si>
    <t>Whipps Cross University Hospital NHS Trust</t>
  </si>
  <si>
    <t>RGC</t>
  </si>
  <si>
    <t>Solihull Metropolitan Borough Council</t>
  </si>
  <si>
    <t>Somerset County Council</t>
  </si>
  <si>
    <t>Children, Schools &amp; Families</t>
  </si>
  <si>
    <t>Department for Children, Schools &amp; Families</t>
  </si>
  <si>
    <t>DCMS</t>
  </si>
  <si>
    <t>Department for Culture, Media &amp; Sport</t>
  </si>
  <si>
    <t>DIU&amp;S</t>
  </si>
  <si>
    <t>Department for Innovation, Universities &amp; Skills</t>
  </si>
  <si>
    <t>DFID</t>
  </si>
  <si>
    <t>Department for International Development</t>
  </si>
  <si>
    <t>DH</t>
  </si>
  <si>
    <t>Thurrock Borough Council</t>
  </si>
  <si>
    <t>Metropolitan Police Service</t>
  </si>
  <si>
    <t>Mid Devon District Council</t>
  </si>
  <si>
    <t>Mid Sussex District Council</t>
  </si>
  <si>
    <t>S8802</t>
  </si>
  <si>
    <t>E3902</t>
  </si>
  <si>
    <t>E5022</t>
  </si>
  <si>
    <t>Oxfordshire County Council</t>
  </si>
  <si>
    <t>Acc</t>
  </si>
  <si>
    <t>Takes values from</t>
  </si>
  <si>
    <t>AllClubs Discount</t>
  </si>
  <si>
    <t>Isle of Wight NHS PCT</t>
  </si>
  <si>
    <t>4.</t>
  </si>
  <si>
    <t>ClubforFile</t>
  </si>
  <si>
    <t>MemCorpServ</t>
  </si>
  <si>
    <r>
      <t>Title</t>
    </r>
    <r>
      <rPr>
        <sz val="8"/>
        <rFont val="Verdana"/>
        <family val="2"/>
      </rPr>
      <t>(Mr/Mrs/Ms)</t>
    </r>
  </si>
  <si>
    <t>CLUB DETAILS</t>
  </si>
  <si>
    <t>C</t>
  </si>
  <si>
    <t>2013w</t>
  </si>
  <si>
    <t>Status</t>
  </si>
  <si>
    <t>PrevSort*Values</t>
  </si>
  <si>
    <t>Renew2</t>
  </si>
  <si>
    <t>X</t>
  </si>
  <si>
    <t>A</t>
  </si>
  <si>
    <t>N</t>
  </si>
  <si>
    <t>E</t>
  </si>
  <si>
    <t>Sub unchanged</t>
  </si>
  <si>
    <t>Sub changed</t>
  </si>
  <si>
    <t>Error</t>
  </si>
  <si>
    <t>PrevSortSum</t>
  </si>
  <si>
    <t>New join</t>
  </si>
  <si>
    <t>New not join</t>
  </si>
  <si>
    <t>Sub cancelled</t>
  </si>
  <si>
    <t>PSVsum</t>
  </si>
  <si>
    <t>=IF(OR(AI19=0,AI19="na",ISERROR(SEARCH("follow",AI19))=FALSE),FALSE,TRUE)</t>
  </si>
  <si>
    <t>Clubs ticked?</t>
  </si>
  <si>
    <t>=INDIRECT($S$1&amp;"!"&amp;ADDRESS(ROW(PurchOrder),COLUMN(PurchOrder)))</t>
  </si>
  <si>
    <t>Error check</t>
  </si>
  <si>
    <t>University College London Hospitals NHS Foundation Trust</t>
  </si>
  <si>
    <t>Welwyn Hatfield Borough Council</t>
  </si>
  <si>
    <t>West Lancashire Borough Council</t>
  </si>
  <si>
    <t>Barking, Havering &amp; Redbridge Hospitals NHS Trust</t>
  </si>
  <si>
    <t>RF4</t>
  </si>
  <si>
    <t>Barnet &amp; Chase Farm Hospitals NHS Trust</t>
  </si>
  <si>
    <t>RVL</t>
  </si>
  <si>
    <t>non-LA, alt.Invoice</t>
  </si>
  <si>
    <t>Democratic Services</t>
  </si>
  <si>
    <t>Risk Management</t>
  </si>
  <si>
    <t>Watford Borough Council</t>
  </si>
  <si>
    <t>Watford and Three Rivers Shared HR Service</t>
  </si>
  <si>
    <t>Waveney District Council</t>
  </si>
  <si>
    <t>Cumbria County Council</t>
  </si>
  <si>
    <t>Independent Living Fund</t>
  </si>
  <si>
    <t>ILF</t>
  </si>
  <si>
    <t>Kent Police</t>
  </si>
  <si>
    <t>Mayors Office for Policing and Crime</t>
  </si>
  <si>
    <t>Mopac</t>
  </si>
  <si>
    <t>Merseytravel - M.I.T.A &amp; M.P.T.E</t>
  </si>
  <si>
    <t>NHS Gloucestershire</t>
  </si>
  <si>
    <t>Northern Joint Police</t>
  </si>
  <si>
    <t>S6081</t>
  </si>
  <si>
    <t>Skills Funding Agency</t>
  </si>
  <si>
    <t>SFAG</t>
  </si>
  <si>
    <t>South Warwickshire NHS Foundation Trust</t>
  </si>
  <si>
    <t>SWFT</t>
  </si>
  <si>
    <t>South Yorkshire Passenger Transport Executive</t>
  </si>
  <si>
    <t>Student Loans Company</t>
  </si>
  <si>
    <t>StuLoan</t>
  </si>
  <si>
    <t>Tayside Police</t>
  </si>
  <si>
    <t>S6088</t>
  </si>
  <si>
    <t>DCBO</t>
  </si>
  <si>
    <t>chosen above:</t>
  </si>
  <si>
    <t>for text:</t>
  </si>
  <si>
    <t>no charge</t>
  </si>
  <si>
    <t>Basildon Borough Council</t>
  </si>
  <si>
    <t>Chelsea and Westminster NHS Foundation Trust</t>
  </si>
  <si>
    <t>CCW</t>
  </si>
  <si>
    <t>Eastleigh Borough Council</t>
  </si>
  <si>
    <t>East Sussex County Council</t>
  </si>
  <si>
    <t>Torbay Council</t>
  </si>
  <si>
    <t>E2834</t>
  </si>
  <si>
    <t>Kettering Borough Council</t>
  </si>
  <si>
    <t>5J4</t>
  </si>
  <si>
    <t>Aintree University Hospitals NHS Foundation Trust</t>
  </si>
  <si>
    <t>nhst</t>
  </si>
  <si>
    <t>S8801</t>
  </si>
  <si>
    <t>Sutton &amp; Merton PCT</t>
  </si>
  <si>
    <t>5LH</t>
  </si>
  <si>
    <t>Tameside &amp; Glossop PCT</t>
  </si>
  <si>
    <t>E3639</t>
  </si>
  <si>
    <t>Tandridge District Council</t>
  </si>
  <si>
    <t>E3333</t>
  </si>
  <si>
    <t>Gross Price</t>
  </si>
  <si>
    <t>Excel version of the club database</t>
  </si>
  <si>
    <t>COMMENCEMENT AND TERM</t>
  </si>
  <si>
    <t>THE SERVICE</t>
  </si>
  <si>
    <t>East Dunbartonshire Council</t>
  </si>
  <si>
    <t>E1933</t>
  </si>
  <si>
    <t>East Hertfordshire District Council</t>
  </si>
  <si>
    <t>RXR</t>
  </si>
  <si>
    <t>Portsmouth Hospitals NHS Trust</t>
  </si>
  <si>
    <t>Wirral Univ Teaching Hospital NHS Foundation Trust</t>
  </si>
  <si>
    <t>E3641</t>
  </si>
  <si>
    <t>Woking Borough Council</t>
  </si>
  <si>
    <t>E0306</t>
  </si>
  <si>
    <t>5MV83</t>
  </si>
  <si>
    <t>Wolverhampton City Primary Care Trust</t>
  </si>
  <si>
    <t>E1837</t>
  </si>
  <si>
    <t>Worcester City Council</t>
  </si>
  <si>
    <t>E2344</t>
  </si>
  <si>
    <t>Tamworth Borough Council</t>
  </si>
  <si>
    <t>Telford &amp; Wrekin Council</t>
  </si>
  <si>
    <t>Test Valley Borough Council</t>
  </si>
  <si>
    <t>Tewkesbury Borough Council</t>
  </si>
  <si>
    <t>Word version of the club scrapbook.</t>
  </si>
  <si>
    <t>Milton Keynes Council</t>
  </si>
  <si>
    <t>FirstName</t>
  </si>
  <si>
    <t>Nottinghamshire County Council</t>
  </si>
  <si>
    <t>Nottinghamshire Fire &amp; Rescue Service</t>
  </si>
  <si>
    <t>UK Commission for Employment &amp; Skills</t>
  </si>
  <si>
    <t>RRV</t>
  </si>
  <si>
    <t>Xatomic Energy</t>
  </si>
  <si>
    <t>Dundee City Council</t>
  </si>
  <si>
    <t>RJX</t>
  </si>
  <si>
    <t>(Mr/Mrs/Ms)</t>
  </si>
  <si>
    <t>E3720</t>
  </si>
  <si>
    <t>London Borough of Camden</t>
  </si>
  <si>
    <t>Final report comparing with selected members</t>
  </si>
  <si>
    <t>AWM</t>
  </si>
  <si>
    <t xml:space="preserve"> If you have any membership queries please contact Benchmarking on 020-3117-1848.</t>
  </si>
  <si>
    <t>PMDisc</t>
  </si>
  <si>
    <t>Gr Manchester West Mntl Health NHS Foundation Tr</t>
  </si>
  <si>
    <t>S6082</t>
  </si>
  <si>
    <t>SNH</t>
  </si>
  <si>
    <t>Scottish Natural Heritage</t>
  </si>
  <si>
    <t>5NJ</t>
  </si>
  <si>
    <t>Sefton PCT</t>
  </si>
  <si>
    <t>E2240</t>
  </si>
  <si>
    <t>Shepway District Council</t>
  </si>
  <si>
    <t>STHNHST</t>
  </si>
  <si>
    <t>E6160</t>
  </si>
  <si>
    <t>E6139</t>
  </si>
  <si>
    <t>Wiltshire and Swindon Fire Authority</t>
  </si>
  <si>
    <t>E6039</t>
  </si>
  <si>
    <t>Wiltshire Police</t>
  </si>
  <si>
    <t>5NK</t>
  </si>
  <si>
    <t>Selby District Council</t>
  </si>
  <si>
    <t>Blackburn with Darwen Primary Care Trust</t>
  </si>
  <si>
    <t>Pendle Borough Council</t>
  </si>
  <si>
    <t>RT2HQ</t>
  </si>
  <si>
    <t>Pennine Acute Hospitals NHS Trust</t>
  </si>
  <si>
    <t>S8803</t>
  </si>
  <si>
    <t>RQY</t>
  </si>
  <si>
    <t>Gwynedd Council</t>
  </si>
  <si>
    <t>Monmouthshire County Council</t>
  </si>
  <si>
    <t>London Fire &amp; Emergency Planning Authority</t>
  </si>
  <si>
    <t>Lothian &amp; Borders Police</t>
  </si>
  <si>
    <t>Luton Borough Council</t>
  </si>
  <si>
    <t>Maidstone Borough Council</t>
  </si>
  <si>
    <t>Sevenoaks District Council</t>
  </si>
  <si>
    <t>Sheffield City Council</t>
  </si>
  <si>
    <t>Shetland Islands Council</t>
  </si>
  <si>
    <t>Shropshire Council</t>
  </si>
  <si>
    <t>Slough Borough Council</t>
  </si>
  <si>
    <t>London Borough of Tower Hamlets</t>
  </si>
  <si>
    <t>Trafford Metropolitan Borough Council</t>
  </si>
  <si>
    <t>Tenant Services Authority</t>
  </si>
  <si>
    <t>E3533</t>
  </si>
  <si>
    <t>OAdd3</t>
  </si>
  <si>
    <t>Robert Jones &amp; Agnes Hunt Orthopaedic &amp; District Hosp NHST</t>
  </si>
  <si>
    <t>E2341</t>
  </si>
  <si>
    <t>East Lancashire Hospitals NHS Trust</t>
  </si>
  <si>
    <t>5NH</t>
  </si>
  <si>
    <t>East Cambridgeshire District Council</t>
  </si>
  <si>
    <t>RJN</t>
  </si>
  <si>
    <t>E5034</t>
  </si>
  <si>
    <t>Stockton-on-Tees Borough Council</t>
  </si>
  <si>
    <t>Stoke-on-Trent City Council</t>
  </si>
  <si>
    <t>Stratford-on-Avon District Council</t>
  </si>
  <si>
    <t>Suffolk County Council</t>
  </si>
  <si>
    <t>West Hertfordshire Hospitals NHS Trust</t>
  </si>
  <si>
    <t>E2343</t>
  </si>
  <si>
    <t>E6007</t>
  </si>
  <si>
    <t>Cleveland Police</t>
  </si>
  <si>
    <t>S8903</t>
  </si>
  <si>
    <t>East Lancashire Teaching Primary Care Trust</t>
  </si>
  <si>
    <t>S8601</t>
  </si>
  <si>
    <t>East Lothian Council</t>
  </si>
  <si>
    <t>EMDA</t>
  </si>
  <si>
    <t>E2755</t>
  </si>
  <si>
    <t>E2531</t>
  </si>
  <si>
    <t>Hampshire Fire &amp; Rescue Service</t>
  </si>
  <si>
    <t>E6052</t>
  </si>
  <si>
    <t>Hampshire Police</t>
  </si>
  <si>
    <t>E2433</t>
  </si>
  <si>
    <t>Harborough District Council</t>
  </si>
  <si>
    <t>E1736</t>
  </si>
  <si>
    <t>Hart District Council</t>
  </si>
  <si>
    <t>Mid Cheshire Hospitals NHS Foundation Trust</t>
  </si>
  <si>
    <t>NatAudit</t>
  </si>
  <si>
    <t>E4702</t>
  </si>
  <si>
    <t>E0531</t>
  </si>
  <si>
    <t>E3320</t>
  </si>
  <si>
    <t>E0536</t>
  </si>
  <si>
    <t>E0103</t>
  </si>
  <si>
    <t>Rother District Council</t>
  </si>
  <si>
    <t>5H8</t>
  </si>
  <si>
    <t>Rotherham Primary Care Trust</t>
  </si>
  <si>
    <t>REF</t>
  </si>
  <si>
    <t>Royal Cornwall Hospitals NHS Trust</t>
  </si>
  <si>
    <t>RH8</t>
  </si>
  <si>
    <t>Royal Devon and Exeter NHS Foundation Trust</t>
  </si>
  <si>
    <t>RQ6</t>
  </si>
  <si>
    <t>Where the area being benchmarked is outsourced, or is part of a partnership arrangement, under no circumstances should data that names, or can be used to identify, other members be made available to employees of the contractor or partnership.  For this reason attendance at Review Meetings is restricted to authority employees only.</t>
  </si>
  <si>
    <t>E0435</t>
  </si>
  <si>
    <t>E1839</t>
  </si>
  <si>
    <t>Clatterbridge Centre for Oncology NHS Foundation Trust</t>
  </si>
  <si>
    <t>E6107</t>
  </si>
  <si>
    <t>SouthEastern</t>
  </si>
  <si>
    <t>National Audit Office</t>
  </si>
  <si>
    <t>NCSL</t>
  </si>
  <si>
    <t>National College for School Leadership</t>
  </si>
  <si>
    <t>NPIA</t>
  </si>
  <si>
    <t>National Policing Improvement Agency</t>
  </si>
  <si>
    <t>NS&amp;I</t>
  </si>
  <si>
    <t>Barts and the London NHS Trust</t>
  </si>
  <si>
    <t>RNJ</t>
  </si>
  <si>
    <t>Camden &amp; Islington NHS Foundation Trust</t>
  </si>
  <si>
    <t>FabHousing</t>
  </si>
  <si>
    <t>FWHousing</t>
  </si>
  <si>
    <t>E3532</t>
  </si>
  <si>
    <t>GCHQ</t>
  </si>
  <si>
    <t>E1735</t>
  </si>
  <si>
    <t>E6142</t>
  </si>
  <si>
    <t>E1538</t>
  </si>
  <si>
    <t>E1737</t>
  </si>
  <si>
    <t>E6072</t>
  </si>
  <si>
    <t>St Edmundsbury Borough Council</t>
  </si>
  <si>
    <t>St Helens Metropolitan Borough Council</t>
  </si>
  <si>
    <t>Stafford Borough Council</t>
  </si>
  <si>
    <t>Staffordshire County Council</t>
  </si>
  <si>
    <t>Staffordshire Fire and Rescue Service</t>
  </si>
  <si>
    <t>Blackpool Fylde and Wyre Hospitals NHS Foundation Trust</t>
  </si>
  <si>
    <t>5HP</t>
  </si>
  <si>
    <t>Blackpool Primary Care Trust</t>
  </si>
  <si>
    <t>5QN</t>
  </si>
  <si>
    <t>Bournemouth &amp; Poole Primary Care Trust</t>
  </si>
  <si>
    <t>E2631</t>
  </si>
  <si>
    <t>Breckland District Council</t>
  </si>
  <si>
    <t>BBC</t>
  </si>
  <si>
    <t>British Broadcasting Corporation</t>
  </si>
  <si>
    <t>BECTA</t>
  </si>
  <si>
    <t>British Educational Communications &amp; Technology Agency</t>
  </si>
  <si>
    <t>XBritish Library</t>
  </si>
  <si>
    <t>British Library</t>
  </si>
  <si>
    <t>E2632</t>
  </si>
  <si>
    <t>NLGNHSFT</t>
  </si>
  <si>
    <t>Northumberland County Council</t>
  </si>
  <si>
    <t>PlymouthCH</t>
  </si>
  <si>
    <t>The Cabinet Office</t>
  </si>
  <si>
    <t>TCO</t>
  </si>
  <si>
    <t>The Shared Services Partnership</t>
  </si>
  <si>
    <t>TSSP</t>
  </si>
  <si>
    <t>E1401</t>
  </si>
  <si>
    <t>E1234</t>
  </si>
  <si>
    <t>North Dorset District Council</t>
  </si>
  <si>
    <t>5PW</t>
  </si>
  <si>
    <t>North East Essex Primary Care Trust</t>
  </si>
  <si>
    <t>RAT</t>
  </si>
  <si>
    <t>RTV</t>
  </si>
  <si>
    <t>E3537</t>
  </si>
  <si>
    <t>E1437</t>
  </si>
  <si>
    <t>E2837</t>
  </si>
  <si>
    <t>E1940</t>
  </si>
  <si>
    <t>Countryside Council for Wales</t>
  </si>
  <si>
    <t>E6115</t>
  </si>
  <si>
    <t>E6071</t>
  </si>
  <si>
    <t>E0303</t>
  </si>
  <si>
    <t>E5046</t>
  </si>
  <si>
    <t>E0703</t>
  </si>
  <si>
    <t>E3635</t>
  </si>
  <si>
    <t>S8712</t>
  </si>
  <si>
    <t>E5047</t>
  </si>
  <si>
    <t>E4205</t>
  </si>
  <si>
    <t>M</t>
  </si>
  <si>
    <t>Royal Free Hampstead NHS Trust</t>
  </si>
  <si>
    <t>RAL</t>
  </si>
  <si>
    <t>Royal Marsden NHS Foundation Trust</t>
  </si>
  <si>
    <t>RPY</t>
  </si>
  <si>
    <t>Parliamentary &amp; Health Services Ombudsman</t>
  </si>
  <si>
    <t>PfS</t>
  </si>
  <si>
    <t>Partnerships for Schools</t>
  </si>
  <si>
    <t>PDNP</t>
  </si>
  <si>
    <t>Peak District National Park Authority</t>
  </si>
  <si>
    <t>Clackmannanshire Council</t>
  </si>
  <si>
    <t>Colchester Borough Council</t>
  </si>
  <si>
    <t>Conwy County Borough Council</t>
  </si>
  <si>
    <t>E1436</t>
  </si>
  <si>
    <t>DateJ</t>
  </si>
  <si>
    <t>E6045</t>
  </si>
  <si>
    <t>Northumbria Police</t>
  </si>
  <si>
    <t>Aberdeen City Council</t>
  </si>
  <si>
    <t>Council Tax</t>
  </si>
  <si>
    <t>E6134</t>
  </si>
  <si>
    <t>E3437</t>
  </si>
  <si>
    <t>E6034</t>
  </si>
  <si>
    <t>E3536</t>
  </si>
  <si>
    <t>TSA</t>
  </si>
  <si>
    <t>E2244</t>
  </si>
  <si>
    <t>E6145</t>
  </si>
  <si>
    <t>E1939</t>
  </si>
  <si>
    <t>E6047</t>
  </si>
  <si>
    <t>LHA</t>
  </si>
  <si>
    <t>S8901</t>
  </si>
  <si>
    <t>Epsom &amp; St Helier University Hospitals NHS Trust</t>
  </si>
  <si>
    <t>E1132</t>
  </si>
  <si>
    <t>Exeter City Council</t>
  </si>
  <si>
    <t>ECGD</t>
  </si>
  <si>
    <t>Export Credit Guarantee Department</t>
  </si>
  <si>
    <t>E0533</t>
  </si>
  <si>
    <t>Fenland District Council</t>
  </si>
  <si>
    <t>Partial supply of data may also result in a reduced service.</t>
  </si>
  <si>
    <t>S8201</t>
  </si>
  <si>
    <t>E5036</t>
  </si>
  <si>
    <t>S8704</t>
  </si>
  <si>
    <t>E1732</t>
  </si>
  <si>
    <t>E2532</t>
  </si>
  <si>
    <t>E2833</t>
  </si>
  <si>
    <t>Legal</t>
  </si>
  <si>
    <t>EndDate</t>
  </si>
  <si>
    <t>You can also email queries to us at</t>
  </si>
  <si>
    <t>Fareham Borough Council</t>
  </si>
  <si>
    <t>First Choice Homes Oldham</t>
  </si>
  <si>
    <t>Fife Council</t>
  </si>
  <si>
    <t>First Wessex</t>
  </si>
  <si>
    <t>Flintshire County Council</t>
  </si>
  <si>
    <t>Wolverhampton City Council</t>
  </si>
  <si>
    <t>Worcestershire County Council</t>
  </si>
  <si>
    <t>Worthing Borough Council</t>
  </si>
  <si>
    <t>BMDirect@cipfa.org</t>
  </si>
  <si>
    <t>Benchmarking@cipfa.org</t>
  </si>
  <si>
    <t>Please email this file to BMDirect@cipfa.org</t>
  </si>
  <si>
    <t>Cancel</t>
  </si>
  <si>
    <t>including discounts:</t>
  </si>
  <si>
    <t>Total Price</t>
  </si>
  <si>
    <t>chosen previously:</t>
  </si>
  <si>
    <t>Club membership is provided on an annual subscription basis; the subscription period will start on 1st February 2013 and end on 31st January 2014. Payment for the subscription will be due on presentation of a valid invoice.</t>
  </si>
  <si>
    <t>Price17</t>
  </si>
  <si>
    <t>District Core Back-Office</t>
  </si>
  <si>
    <t>District Core Back-Office - pilot exercise</t>
  </si>
  <si>
    <t>2gether NHSFT</t>
  </si>
  <si>
    <t>2gether</t>
  </si>
  <si>
    <t>Audit North West</t>
  </si>
  <si>
    <t>AuditNW</t>
  </si>
  <si>
    <t>British Transport Police</t>
  </si>
  <si>
    <t>BTP</t>
  </si>
  <si>
    <t>Central Scotland Police</t>
  </si>
  <si>
    <t>S6086</t>
  </si>
  <si>
    <t>Circle Housing Group</t>
  </si>
  <si>
    <t>CirHousGroup</t>
  </si>
  <si>
    <t>City of London Police</t>
  </si>
  <si>
    <t>CityPolice</t>
  </si>
  <si>
    <t>Cumbria Partnership NHS Foundation Trust</t>
  </si>
  <si>
    <t>CumbriaPartnership</t>
  </si>
  <si>
    <t>Dumfries Police</t>
  </si>
  <si>
    <t>S6083</t>
  </si>
  <si>
    <t>S6084</t>
  </si>
  <si>
    <t>Gloucestershire Hospitals NHSFT</t>
  </si>
  <si>
    <t>Great Western Ambulance Service NHST</t>
  </si>
  <si>
    <t>Homerton University Hospital NHS Foundation Trust</t>
  </si>
  <si>
    <t>RQX</t>
  </si>
  <si>
    <t>London Borough of Havering</t>
  </si>
  <si>
    <t>Herefordshire Council</t>
  </si>
  <si>
    <t>Merlin Housing Society</t>
  </si>
  <si>
    <t>*If applicable, bulk discount due on previous purchases will be applied at invoicing.</t>
  </si>
  <si>
    <t>Ministry of Defence</t>
  </si>
  <si>
    <t>E3634</t>
  </si>
  <si>
    <t>Mole Valley District Council</t>
  </si>
  <si>
    <t>Gloucestershire Constabulary</t>
  </si>
  <si>
    <t>GAD</t>
  </si>
  <si>
    <t>Government Actuary's Department</t>
  </si>
  <si>
    <t>Gos</t>
  </si>
  <si>
    <t>Government Offices</t>
  </si>
  <si>
    <t>GMWMH</t>
  </si>
  <si>
    <t>South Northamptonshire Council</t>
  </si>
  <si>
    <t>South Somerset District Council</t>
  </si>
  <si>
    <t>South Staffordshire District Council</t>
  </si>
  <si>
    <t>South Tyneside Metropolitan Borough Council</t>
  </si>
  <si>
    <t>Advantage West Midlands</t>
  </si>
  <si>
    <t>5NJ28</t>
  </si>
  <si>
    <t>Ribble Valley Borough Council</t>
  </si>
  <si>
    <t>RL1</t>
  </si>
  <si>
    <t>CIPFA Benchmarking - a part of CIPFA Business Ltd.</t>
  </si>
  <si>
    <t>You will receive notification of your subscription renewal in writing at least 30 days before the renewal date.</t>
  </si>
  <si>
    <t>CANCELLATION</t>
  </si>
  <si>
    <t>SUBSCRIPTION FEES</t>
  </si>
  <si>
    <t>Review meeting to discuss outcomes (one delegate per club)</t>
  </si>
  <si>
    <t>Defence Science and Technology Laboratory</t>
  </si>
  <si>
    <t>Dudley Metropolitan Borough Council</t>
  </si>
  <si>
    <t>Dumfries &amp; Galloway Council</t>
  </si>
  <si>
    <t>Leicestershire Constabulary</t>
  </si>
  <si>
    <t>E6124</t>
  </si>
  <si>
    <t>2.</t>
  </si>
  <si>
    <t>3.</t>
  </si>
  <si>
    <t>Mem this year</t>
  </si>
  <si>
    <t>City of London Corporation</t>
  </si>
  <si>
    <t>Xcivilnuclear</t>
  </si>
  <si>
    <t>Civil Nuclear Constabulary</t>
  </si>
  <si>
    <t>REN</t>
  </si>
  <si>
    <t>Wyre Forest District Council</t>
  </si>
  <si>
    <t>SUBSCRIPTION RENEWAL</t>
  </si>
  <si>
    <t>AmicusHorizon</t>
  </si>
  <si>
    <t>Plymouth Community Homes</t>
  </si>
  <si>
    <t>E1740</t>
  </si>
  <si>
    <t>E4206</t>
  </si>
  <si>
    <t>Hinckley &amp; Bosworth Borough Council</t>
  </si>
  <si>
    <t>HistoricScot</t>
  </si>
  <si>
    <t>W6074</t>
  </si>
  <si>
    <t>South Wales Police</t>
  </si>
  <si>
    <t>Department for Transport</t>
  </si>
  <si>
    <t>Thames Valley Police Authority</t>
  </si>
  <si>
    <t>Three Rivers District Council</t>
  </si>
  <si>
    <t>Department of Health</t>
  </si>
  <si>
    <t>E1001</t>
  </si>
  <si>
    <t>Derby City Council</t>
  </si>
  <si>
    <t>Bracknell Forest Borough Council</t>
  </si>
  <si>
    <t>Braintree District Council</t>
  </si>
  <si>
    <t>RC3</t>
  </si>
  <si>
    <t>East London NHS Foundation Trust</t>
  </si>
  <si>
    <t>RWK</t>
  </si>
  <si>
    <t>Great Ormond Street Hospital for Children NHS Trust</t>
  </si>
  <si>
    <t>RP4</t>
  </si>
  <si>
    <t>Guy's &amp; St Thomas' NHS FT</t>
  </si>
  <si>
    <t>RJ1</t>
  </si>
  <si>
    <t>Hillingdon Hospital NHS Foundation Trust</t>
  </si>
  <si>
    <t>Hounslow &amp; Richmond Community Healthcare</t>
  </si>
  <si>
    <t>RY9</t>
  </si>
  <si>
    <t>NATARC</t>
  </si>
  <si>
    <t>The National Archives</t>
  </si>
  <si>
    <t>NPSA</t>
  </si>
  <si>
    <t>Christchurch Borough Council</t>
  </si>
  <si>
    <t>Circle Anglia</t>
  </si>
  <si>
    <t>Thurrock Thames Gateway Development Corporation</t>
  </si>
  <si>
    <t>E2243</t>
  </si>
  <si>
    <t>Merthyr Tydfil County Borough Council</t>
  </si>
  <si>
    <t>London Borough of Merton</t>
  </si>
  <si>
    <t>E3335</t>
  </si>
  <si>
    <t>E2301</t>
  </si>
  <si>
    <t>E0920</t>
  </si>
  <si>
    <t>Newcastle City Council</t>
  </si>
  <si>
    <t>Newcastle-under-Lyme Borough Council</t>
  </si>
  <si>
    <t>London Borough of Newham</t>
  </si>
  <si>
    <t>Newport City Council</t>
  </si>
  <si>
    <t>Norfolk County Council</t>
  </si>
  <si>
    <t>Imperial College Healthcare NHS Trust</t>
  </si>
  <si>
    <t>RYJ</t>
  </si>
  <si>
    <t>King's College Hospital NHS Foundation Trust</t>
  </si>
  <si>
    <t>RJZ</t>
  </si>
  <si>
    <t>Kingston Hospital NHS Trust</t>
  </si>
  <si>
    <t>RAX</t>
  </si>
  <si>
    <t>Strathclyde Police</t>
  </si>
  <si>
    <t>E1635</t>
  </si>
  <si>
    <t>Redbridge Primary Care Trust</t>
  </si>
  <si>
    <t>RCPCT</t>
  </si>
  <si>
    <t>Redcar &amp; Cleveland PCT</t>
  </si>
  <si>
    <t>E1835</t>
  </si>
  <si>
    <t>Redditch Borough Council</t>
  </si>
  <si>
    <t>RCPO</t>
  </si>
  <si>
    <t>Revenues &amp; Customs Prosecutions Office</t>
  </si>
  <si>
    <t>E2340</t>
  </si>
  <si>
    <t>Bromsgrove District Council</t>
  </si>
  <si>
    <t>E1931</t>
  </si>
  <si>
    <t>Debtors</t>
  </si>
  <si>
    <t>ChkSameSort</t>
  </si>
  <si>
    <t>E1633</t>
  </si>
  <si>
    <t>E4501</t>
  </si>
  <si>
    <t>E3034</t>
  </si>
  <si>
    <t>E1634</t>
  </si>
  <si>
    <t>E1620</t>
  </si>
  <si>
    <t>E2633</t>
  </si>
  <si>
    <t>E5012</t>
  </si>
  <si>
    <t>E3633</t>
  </si>
  <si>
    <t>W7303</t>
  </si>
  <si>
    <t>E5013</t>
  </si>
  <si>
    <t>E0601</t>
  </si>
  <si>
    <t>E2732</t>
  </si>
  <si>
    <t>Club members should not divulge data about other club members to anyone but immediate colleagues.  Under no circumstances should data be passed on to third parties.</t>
  </si>
  <si>
    <t>Kirklees Metropolitan Borough Council</t>
  </si>
  <si>
    <t>Knowsley Metropolitan Borough Council</t>
  </si>
  <si>
    <t>E2734</t>
  </si>
  <si>
    <t>RV5</t>
  </si>
  <si>
    <t>Liverpool Women's Hospital NHS Foundation Trust</t>
  </si>
  <si>
    <t>University Hospitals of Morecambe Bay NHS Trust</t>
  </si>
  <si>
    <t>S8102</t>
  </si>
  <si>
    <t>E3820</t>
  </si>
  <si>
    <t>E1238</t>
  </si>
  <si>
    <t>E4210</t>
  </si>
  <si>
    <t>E1743</t>
  </si>
  <si>
    <t>Borough Council of Kings Lynn &amp; West Norfolk</t>
  </si>
  <si>
    <t>Royal Borough of Kingston-upon-Thames</t>
  </si>
  <si>
    <t>S8501</t>
  </si>
  <si>
    <t>S8902</t>
  </si>
  <si>
    <t>IPS</t>
  </si>
  <si>
    <t>E6122</t>
  </si>
  <si>
    <t>E6022</t>
  </si>
  <si>
    <t>ContInput</t>
  </si>
  <si>
    <t>S8706</t>
  </si>
  <si>
    <t>E2001</t>
  </si>
  <si>
    <t>E3432</t>
  </si>
  <si>
    <t>E1421</t>
  </si>
  <si>
    <t>E1432</t>
  </si>
  <si>
    <t>S8602</t>
  </si>
  <si>
    <t>E5037</t>
  </si>
  <si>
    <t>E1537</t>
  </si>
  <si>
    <t>Knowsley PCT</t>
  </si>
  <si>
    <t>LDNP</t>
  </si>
  <si>
    <t>Lancashire County Council</t>
  </si>
  <si>
    <t>Cotswold District Council</t>
  </si>
  <si>
    <t>Coventry City Council</t>
  </si>
  <si>
    <t>Crawley Borough Council</t>
  </si>
  <si>
    <t>Chorley Borough Council</t>
  </si>
  <si>
    <t>Gosport Borough Council</t>
  </si>
  <si>
    <t>North Wales Police</t>
  </si>
  <si>
    <t>NHS Direct</t>
  </si>
  <si>
    <t>RMY27</t>
  </si>
  <si>
    <t>HR</t>
  </si>
  <si>
    <t>E0431</t>
  </si>
  <si>
    <t>E5030</t>
  </si>
  <si>
    <t>E5031</t>
  </si>
  <si>
    <t>E4401</t>
  </si>
  <si>
    <t>E1531</t>
  </si>
  <si>
    <t>E1731</t>
  </si>
  <si>
    <t>E0101</t>
  </si>
  <si>
    <t>E5032</t>
  </si>
  <si>
    <t>E4601</t>
  </si>
  <si>
    <t>E2302</t>
  </si>
  <si>
    <t>W7201</t>
  </si>
  <si>
    <t>E4201</t>
  </si>
  <si>
    <t>E1202</t>
  </si>
  <si>
    <t>E0301</t>
  </si>
  <si>
    <t>E4701</t>
  </si>
  <si>
    <t>E1532</t>
  </si>
  <si>
    <t>PHSO</t>
  </si>
  <si>
    <t>Purchase Order No.</t>
  </si>
  <si>
    <t>DSA</t>
  </si>
  <si>
    <t>Lincolnshire Fire &amp; Rescue Service</t>
  </si>
  <si>
    <t>E6025</t>
  </si>
  <si>
    <t>Lincolnshire Police</t>
  </si>
  <si>
    <t>RBQ</t>
  </si>
  <si>
    <t>Essex County Council</t>
  </si>
  <si>
    <t>Neath Port Talbot County Borough Council</t>
  </si>
  <si>
    <t>Pembrokeshire County Council</t>
  </si>
  <si>
    <t>RXL</t>
  </si>
  <si>
    <t>Middlesbrough Borough Council</t>
  </si>
  <si>
    <t>E0302</t>
  </si>
  <si>
    <t>S8604</t>
  </si>
  <si>
    <t>WTR</t>
  </si>
  <si>
    <t>E3734</t>
  </si>
  <si>
    <t>E3520</t>
  </si>
  <si>
    <t>E5014</t>
  </si>
  <si>
    <t>E1721</t>
  </si>
  <si>
    <t>E5038</t>
  </si>
  <si>
    <t>E2753</t>
  </si>
  <si>
    <t>E5039</t>
  </si>
  <si>
    <t>E0701</t>
  </si>
  <si>
    <t>E1433</t>
  </si>
  <si>
    <r>
      <t xml:space="preserve">Title
</t>
    </r>
    <r>
      <rPr>
        <sz val="10"/>
        <rFont val="Verdana"/>
        <family val="2"/>
      </rPr>
      <t>[Name0]</t>
    </r>
  </si>
  <si>
    <r>
      <t>Position</t>
    </r>
    <r>
      <rPr>
        <sz val="10"/>
        <rFont val="Verdana"/>
        <family val="2"/>
      </rPr>
      <t xml:space="preserve">
[Title]</t>
    </r>
  </si>
  <si>
    <t>E0801</t>
  </si>
  <si>
    <t>E1302</t>
  </si>
  <si>
    <t>E2901</t>
  </si>
  <si>
    <t>E1136</t>
  </si>
  <si>
    <t>E2536</t>
  </si>
  <si>
    <t>ValCount</t>
  </si>
  <si>
    <t>Has Contact Email</t>
  </si>
  <si>
    <t>Essex County Fire &amp; Rescue Service</t>
  </si>
  <si>
    <t>Essex Police</t>
  </si>
  <si>
    <t>Fabrick Housing Group</t>
  </si>
  <si>
    <t>Falkirk Council</t>
  </si>
  <si>
    <t>5J6</t>
  </si>
  <si>
    <t>Calderdale Primary Care Trust</t>
  </si>
  <si>
    <t>West Dorset District Council</t>
  </si>
  <si>
    <t>S8703</t>
  </si>
  <si>
    <t>West Dunbartonshire Council</t>
  </si>
  <si>
    <t>RWG</t>
  </si>
  <si>
    <t>Cleveland Fire &amp; Rescue Service</t>
  </si>
  <si>
    <t>E5040</t>
  </si>
  <si>
    <t>E1801</t>
  </si>
  <si>
    <t>E5041</t>
  </si>
  <si>
    <t>E2002</t>
  </si>
  <si>
    <t>E2101</t>
  </si>
  <si>
    <t>East Ayrshire Council</t>
  </si>
  <si>
    <t>East Dorset District Council</t>
  </si>
  <si>
    <t>Warrington Borough Council</t>
  </si>
  <si>
    <t>Warwick District Council</t>
  </si>
  <si>
    <t>Warwickshire County Council</t>
  </si>
  <si>
    <t>L2Check</t>
  </si>
  <si>
    <t>Values</t>
  </si>
  <si>
    <t>Eastbourne Borough Council</t>
  </si>
  <si>
    <t>Eden District Council</t>
  </si>
  <si>
    <t>E0935</t>
  </si>
  <si>
    <t>London Borough of Hammersmith &amp; Fulham</t>
  </si>
  <si>
    <t>Hampshire County Council</t>
  </si>
  <si>
    <t>London Borough of Haringey</t>
  </si>
  <si>
    <t>Harlow District Council</t>
  </si>
  <si>
    <t>Harrogate Borough Council</t>
  </si>
  <si>
    <t>East Cheshire NHS Trust</t>
  </si>
  <si>
    <t>E1131</t>
  </si>
  <si>
    <t>Wealden District Council</t>
  </si>
  <si>
    <t>Wellingborough Borough Council</t>
  </si>
  <si>
    <t>Children's Workforce Development Council</t>
  </si>
  <si>
    <t>E0432</t>
  </si>
  <si>
    <t>Chiltern District Council</t>
  </si>
  <si>
    <t>Democratic</t>
  </si>
  <si>
    <t>TDA</t>
  </si>
  <si>
    <t>Oxfordshire &amp; Buckinghamshire Mental Health Partners</t>
  </si>
  <si>
    <t>RGM</t>
  </si>
  <si>
    <t>Papworth Hospital NHS Foundation Trust</t>
  </si>
  <si>
    <t>Suffolk Coastal District Council</t>
  </si>
  <si>
    <t>Sunderland City Council</t>
  </si>
  <si>
    <t>Surrey County Council</t>
  </si>
  <si>
    <t>London Borough of Harrow</t>
  </si>
  <si>
    <t>Hartlepool Borough Council</t>
  </si>
  <si>
    <t>Hastings Borough Council</t>
  </si>
  <si>
    <t>S8101</t>
  </si>
  <si>
    <t>E1536</t>
  </si>
  <si>
    <t>Cheshire Fire &amp; Rescue Service</t>
  </si>
  <si>
    <t>Cheshire West and Chester Council</t>
  </si>
  <si>
    <t>Chesterfield Borough Council</t>
  </si>
  <si>
    <t>Chichester District Council</t>
  </si>
  <si>
    <t>Comhairle nan Eilean Siar</t>
  </si>
  <si>
    <t>CRC</t>
  </si>
  <si>
    <t>Commission for Rural Communities</t>
  </si>
  <si>
    <t>CLG</t>
  </si>
  <si>
    <t>North Lanarkshire Council</t>
  </si>
  <si>
    <t>North Tyneside MBC</t>
  </si>
  <si>
    <t>Cumbria Constabulary</t>
  </si>
  <si>
    <t>E2233</t>
  </si>
  <si>
    <t>Financial Services Authority</t>
  </si>
  <si>
    <t>FCO</t>
  </si>
  <si>
    <t>Foreign and Commonwealth Office - Corporate Service Centre</t>
  </si>
  <si>
    <t>Forestry</t>
  </si>
  <si>
    <t>Forestry Commission</t>
  </si>
  <si>
    <t>E2335</t>
  </si>
  <si>
    <t>E3535</t>
  </si>
  <si>
    <t>E4303</t>
  </si>
  <si>
    <t>E3436</t>
  </si>
  <si>
    <t>E3421</t>
  </si>
  <si>
    <t>E4207</t>
  </si>
  <si>
    <t>E0704</t>
  </si>
  <si>
    <t>E3401</t>
  </si>
  <si>
    <t>E3631</t>
  </si>
  <si>
    <t>Bath &amp; North East Somerset Council</t>
  </si>
  <si>
    <t>Bedford Council</t>
  </si>
  <si>
    <t>Belfast City Council</t>
  </si>
  <si>
    <t>London Borough of Bexley</t>
  </si>
  <si>
    <t>NTrust</t>
  </si>
  <si>
    <t>RRP</t>
  </si>
  <si>
    <t>TAF</t>
  </si>
  <si>
    <t>NHS East London &amp; the City Cluster</t>
  </si>
  <si>
    <t>ELC</t>
  </si>
  <si>
    <t>Sort Name</t>
  </si>
  <si>
    <t>Rossendale Borough Council</t>
  </si>
  <si>
    <t>Government Communications Headquarters</t>
  </si>
  <si>
    <t>Gedling Borough Council</t>
  </si>
  <si>
    <t>Dover District Council</t>
  </si>
  <si>
    <t>Birmingham City Council</t>
  </si>
  <si>
    <t>Blackburn with Darwen Borough Council</t>
  </si>
  <si>
    <t>Blackpool Borough Council</t>
  </si>
  <si>
    <t>Blaenau Gwent County Borough Council</t>
  </si>
  <si>
    <t>Bolsover District Council</t>
  </si>
  <si>
    <t>Tyne &amp; Wear Fire and Rescue Service</t>
  </si>
  <si>
    <t>The Vale of Glamorgan Council</t>
  </si>
  <si>
    <t>E3001</t>
  </si>
  <si>
    <t>E3021</t>
  </si>
  <si>
    <t>E4204</t>
  </si>
  <si>
    <t>E3132</t>
  </si>
  <si>
    <t>E3120</t>
  </si>
  <si>
    <t>W7103</t>
  </si>
  <si>
    <t>E0501</t>
  </si>
  <si>
    <t>E1101</t>
  </si>
  <si>
    <t>CUMBRIANHS</t>
  </si>
  <si>
    <t>North Cumbria University Hospitals NHS Trust</t>
  </si>
  <si>
    <t>Borough of Poole</t>
  </si>
  <si>
    <t>Powys County Council</t>
  </si>
  <si>
    <t>Preston City Council</t>
  </si>
  <si>
    <t>Driving Standards Agency</t>
  </si>
  <si>
    <t>Blaby District Council</t>
  </si>
  <si>
    <t>5CC</t>
  </si>
  <si>
    <t>Walsall Metropolitan Borough Council</t>
  </si>
  <si>
    <t>London Borough of Waltham Forest</t>
  </si>
  <si>
    <t>NEPO</t>
  </si>
  <si>
    <t>E0934</t>
  </si>
  <si>
    <t>E2537</t>
  </si>
  <si>
    <t>West Berkshire Council</t>
  </si>
  <si>
    <t>West Lindsey District Council</t>
  </si>
  <si>
    <t>E0551</t>
  </si>
  <si>
    <t>Wrexham County Borough Council</t>
  </si>
  <si>
    <t>Wychavon District Council</t>
  </si>
  <si>
    <t>Wycombe District Council</t>
  </si>
  <si>
    <t>E1934</t>
  </si>
  <si>
    <t>E5042</t>
  </si>
  <si>
    <t>E6120</t>
  </si>
  <si>
    <t>Glasgow City Council</t>
  </si>
  <si>
    <t>Gloucester City Council</t>
  </si>
  <si>
    <t>East Midlands Development Agency</t>
  </si>
  <si>
    <t>EEDA</t>
  </si>
  <si>
    <t>East of England Development Agency</t>
  </si>
  <si>
    <t>Isle of Anglesey County Council</t>
  </si>
  <si>
    <t>W7301</t>
  </si>
  <si>
    <t>E1632</t>
  </si>
  <si>
    <t>E4602</t>
  </si>
  <si>
    <t>E3834</t>
  </si>
  <si>
    <t>Dudley Group of Hospitals NHS Foundation Trust</t>
  </si>
  <si>
    <t>E6013</t>
  </si>
  <si>
    <t>South Eastern Education &amp; Library Board</t>
  </si>
  <si>
    <t>Purbeck District Council</t>
  </si>
  <si>
    <t>QCA</t>
  </si>
  <si>
    <t>Qualifications and Curriculum Authority</t>
  </si>
  <si>
    <t>5NA</t>
  </si>
  <si>
    <t>E1920</t>
  </si>
  <si>
    <t>Dartford Borough Council</t>
  </si>
  <si>
    <t>DEFRA</t>
  </si>
  <si>
    <t>BERR</t>
  </si>
  <si>
    <t>Price1</t>
  </si>
  <si>
    <t>Position</t>
  </si>
  <si>
    <t>Benchmarking questionnaire</t>
  </si>
  <si>
    <t>E6006</t>
  </si>
  <si>
    <t>Cheshire Police Authority</t>
  </si>
  <si>
    <t>CAFCASS</t>
  </si>
  <si>
    <t>E1734</t>
  </si>
  <si>
    <t>XFCH Oldham</t>
  </si>
  <si>
    <t>S8301</t>
  </si>
  <si>
    <t>E0936</t>
  </si>
  <si>
    <t>Calderdale Metropolitan Borough Council</t>
  </si>
  <si>
    <t>Cambridge City Council</t>
  </si>
  <si>
    <t>West Lothian Council</t>
  </si>
  <si>
    <t>Derby Hospitals NHS Foundation Trust</t>
  </si>
  <si>
    <t>E1021</t>
  </si>
  <si>
    <t>Derbyshire County Council</t>
  </si>
  <si>
    <t>E1636</t>
  </si>
  <si>
    <t>E6054</t>
  </si>
  <si>
    <t>E1938</t>
  </si>
  <si>
    <t>E1102</t>
  </si>
  <si>
    <t>E5020</t>
  </si>
  <si>
    <t>E4209</t>
  </si>
  <si>
    <t>W7602</t>
  </si>
  <si>
    <t>E4705</t>
  </si>
  <si>
    <t>E4606</t>
  </si>
  <si>
    <t>E5049</t>
  </si>
  <si>
    <t>E5021</t>
  </si>
  <si>
    <t>E0602</t>
  </si>
  <si>
    <t>E3735</t>
  </si>
  <si>
    <t>Swale Borough Council</t>
  </si>
  <si>
    <t>Swindon Borough Council</t>
  </si>
  <si>
    <t>Draft report comparing performance with all members or by organisation type where relevant</t>
  </si>
  <si>
    <t>E2338</t>
  </si>
  <si>
    <t>Government/NDPB</t>
  </si>
  <si>
    <t>E5043</t>
  </si>
  <si>
    <t>London Borough of Bromley</t>
  </si>
  <si>
    <t>Broxtowe Borough Council</t>
  </si>
  <si>
    <t>Plymouth Teaching PCT</t>
  </si>
  <si>
    <t>N6090</t>
  </si>
  <si>
    <t>Police Service of Northern Ireland</t>
  </si>
  <si>
    <t>E1701</t>
  </si>
  <si>
    <t>Portsmouth City Council</t>
  </si>
  <si>
    <t>5FEJ7</t>
  </si>
  <si>
    <t>E5015</t>
  </si>
  <si>
    <t>E5016</t>
  </si>
  <si>
    <t>E2221</t>
  </si>
  <si>
    <t>E2634</t>
  </si>
  <si>
    <t>E4703</t>
  </si>
  <si>
    <t>E4301</t>
  </si>
  <si>
    <t>E5017</t>
  </si>
  <si>
    <t>E2321</t>
  </si>
  <si>
    <t>E6023</t>
  </si>
  <si>
    <t>E2337</t>
  </si>
  <si>
    <t>E2401</t>
  </si>
  <si>
    <t>Latest Year</t>
  </si>
  <si>
    <t>Darlington Borough Council</t>
  </si>
  <si>
    <t>Daventry District Council</t>
  </si>
  <si>
    <t>5N9</t>
  </si>
  <si>
    <t>Heatherwood &amp; Wrexham Park Hospitals NHS Trust</t>
  </si>
  <si>
    <t>W6072</t>
  </si>
  <si>
    <t>Heddlu Gwent Police</t>
  </si>
  <si>
    <t>E1037</t>
  </si>
  <si>
    <t>High Peak Borough Council</t>
  </si>
  <si>
    <t>HEFC</t>
  </si>
  <si>
    <t>Higher Education Funding Cncl (England)</t>
  </si>
  <si>
    <t>E2434</t>
  </si>
  <si>
    <t>North Devon District Council</t>
  </si>
  <si>
    <t>North East Derbyshire District Council</t>
  </si>
  <si>
    <t>Central London Community Healthcare</t>
  </si>
  <si>
    <t>RYX</t>
  </si>
  <si>
    <t>Croydon Health Services NHS Trust</t>
  </si>
  <si>
    <t>RJ6</t>
  </si>
  <si>
    <t>Ealing Hospital NHS Trust</t>
  </si>
  <si>
    <t>AllClubs Special Price</t>
  </si>
  <si>
    <t>E2831</t>
  </si>
  <si>
    <t>TotalLastYr</t>
  </si>
  <si>
    <t>Maldon District Council</t>
  </si>
  <si>
    <t>Cambridgeshire County Council</t>
  </si>
  <si>
    <t>MemberdataOUT</t>
  </si>
  <si>
    <t>11Million</t>
  </si>
  <si>
    <t>Office of the Children's Commissioner</t>
  </si>
  <si>
    <t>OFS</t>
  </si>
  <si>
    <t>Organisation</t>
  </si>
  <si>
    <t>Membership of the Benchmarking Clubs that are subscribed to.</t>
  </si>
  <si>
    <t>Price2</t>
  </si>
  <si>
    <t>Lewisham Hospital NHS Trust</t>
  </si>
  <si>
    <t>LinFire</t>
  </si>
  <si>
    <t>London Borough of Sutton</t>
  </si>
  <si>
    <t>South Oxfordshire District Council</t>
  </si>
  <si>
    <t>E2342</t>
  </si>
  <si>
    <t>South Ribble Borough Council</t>
  </si>
  <si>
    <t>E4505</t>
  </si>
  <si>
    <t>E3620</t>
  </si>
  <si>
    <t>E5048</t>
  </si>
  <si>
    <t>W7702</t>
  </si>
  <si>
    <t>E3901</t>
  </si>
  <si>
    <t>E4208</t>
  </si>
  <si>
    <t>E3439</t>
  </si>
  <si>
    <t>E3201</t>
  </si>
  <si>
    <t>E1742</t>
  </si>
  <si>
    <t>Perth &amp; Kinross Council</t>
  </si>
  <si>
    <t>PI</t>
  </si>
  <si>
    <t>Planning Inspectorate</t>
  </si>
  <si>
    <t>Fire &amp; Rescue</t>
  </si>
  <si>
    <t>NHS</t>
  </si>
  <si>
    <t>Education</t>
  </si>
  <si>
    <t>For CIPFA use only:</t>
  </si>
  <si>
    <t>LConnexions</t>
  </si>
  <si>
    <t>Leicestershire Connexions Service Ltd.</t>
  </si>
  <si>
    <t>E6024</t>
  </si>
  <si>
    <t>Cheltenham Borough Council</t>
  </si>
  <si>
    <t>Cherwell District Council</t>
  </si>
  <si>
    <t>Cheshire East Council</t>
  </si>
  <si>
    <t>W7404</t>
  </si>
  <si>
    <t>E3832</t>
  </si>
  <si>
    <t>London Borough of Barking &amp; Dagenham</t>
  </si>
  <si>
    <t>South London Healthcare NHS Trust</t>
  </si>
  <si>
    <t>RYQ</t>
  </si>
  <si>
    <t>St George's Healthcare NHS Trust</t>
  </si>
  <si>
    <t>RJ7</t>
  </si>
  <si>
    <t>Tavistock &amp; Portman NHS Foundation Trust</t>
  </si>
  <si>
    <t>E1821</t>
  </si>
  <si>
    <t>Durham Constabulary</t>
  </si>
  <si>
    <t>DVLA</t>
  </si>
  <si>
    <t>Sedgemoor District Council</t>
  </si>
  <si>
    <t>Sefton Metropolitan Borough Council</t>
  </si>
  <si>
    <t>E1236</t>
  </si>
  <si>
    <t>NOMINATED LEAD OFFICER</t>
  </si>
  <si>
    <t>South Cambridgeshire District Council</t>
  </si>
  <si>
    <t>South Gloucestershire Council</t>
  </si>
  <si>
    <t>South Hams District Council</t>
  </si>
  <si>
    <t>W7701</t>
  </si>
  <si>
    <t>County Durham &amp; Darlington Community Health Services</t>
  </si>
  <si>
    <t>RXP</t>
  </si>
  <si>
    <t>NHS Highland</t>
  </si>
  <si>
    <t>NHSIC</t>
  </si>
  <si>
    <t>RXY</t>
  </si>
  <si>
    <t>Kent &amp; Medway NHS &amp; Social Care Partnership Trust</t>
  </si>
  <si>
    <t>The Royal Wolverhampton Hospitals NHS Trust</t>
  </si>
  <si>
    <t>UofL</t>
  </si>
  <si>
    <t>London Ambulance Service NHS Trust</t>
  </si>
  <si>
    <t>RRU</t>
  </si>
  <si>
    <t>Moorfields Eye Hospital NHS Foundation Trust</t>
  </si>
  <si>
    <t>RP6</t>
  </si>
  <si>
    <t>Newham University Hospital NHS Trust</t>
  </si>
  <si>
    <t>RNH</t>
  </si>
  <si>
    <t>North East London NHS Foundation Trust</t>
  </si>
  <si>
    <t>North Middlesex University Hospital NHS Trust</t>
  </si>
  <si>
    <t>RAP</t>
  </si>
  <si>
    <t>North West London Hospitals NHS Trust</t>
  </si>
  <si>
    <t>RV8</t>
  </si>
  <si>
    <t>Oxleas NHS Foundation Trust</t>
  </si>
  <si>
    <t>RPG</t>
  </si>
  <si>
    <t>Royal Brompton &amp; Harefield NHS Trust</t>
  </si>
  <si>
    <t>RT3</t>
  </si>
  <si>
    <t>t</t>
  </si>
  <si>
    <t>PTE</t>
  </si>
  <si>
    <t>dft</t>
  </si>
  <si>
    <t>South London &amp; Maudsley NHS Foundation Trust</t>
  </si>
  <si>
    <t>E3133</t>
  </si>
  <si>
    <t>S8401</t>
  </si>
  <si>
    <t>S8402</t>
  </si>
  <si>
    <t>E3831</t>
  </si>
  <si>
    <t>E1031</t>
  </si>
  <si>
    <t>W7302</t>
  </si>
  <si>
    <t>E1036</t>
  </si>
  <si>
    <t>E1521</t>
  </si>
  <si>
    <t>Cannock Chase District Council</t>
  </si>
  <si>
    <t>Bolton Metropolitan Borough Council</t>
  </si>
  <si>
    <t>Boston Borough Council</t>
  </si>
  <si>
    <t>Bournemouth Borough Council</t>
  </si>
  <si>
    <t>RVY</t>
  </si>
  <si>
    <t>Southport &amp; Ormskirk Hospital NHS Trust</t>
  </si>
  <si>
    <t>Leicester, Leicestershire &amp; Rutland Combined Fire Authority</t>
  </si>
  <si>
    <t>E1435</t>
  </si>
  <si>
    <t>E5018</t>
  </si>
  <si>
    <t>W7003</t>
  </si>
  <si>
    <t>E1838</t>
  </si>
  <si>
    <t>Westminster City Council</t>
  </si>
  <si>
    <t>Weymouth &amp; Portland Borough Council</t>
  </si>
  <si>
    <t>Wigan Metropolitan Borough Council</t>
  </si>
  <si>
    <t>Wiltshire Council</t>
  </si>
  <si>
    <t>Winchester City Council</t>
  </si>
  <si>
    <t>Royal Borough of Windsor &amp; Maidenhead</t>
  </si>
  <si>
    <t>Metropolitan Borough of Wirral</t>
  </si>
  <si>
    <t>Broadland District Council</t>
  </si>
  <si>
    <t>E1831</t>
  </si>
  <si>
    <t>Hertfordshire County Council</t>
  </si>
  <si>
    <t>Hertfordshire Constabulary</t>
  </si>
  <si>
    <t>WyrHousing</t>
  </si>
  <si>
    <t>E2701</t>
  </si>
  <si>
    <t>E3640</t>
  </si>
  <si>
    <t>E2421</t>
  </si>
  <si>
    <t>Manchester City Council</t>
  </si>
  <si>
    <t>Mansfield District Council</t>
  </si>
  <si>
    <t>Medway Council</t>
  </si>
  <si>
    <t>E1121</t>
  </si>
  <si>
    <t>E4402</t>
  </si>
  <si>
    <t>E1221</t>
  </si>
  <si>
    <t>E4603</t>
  </si>
  <si>
    <t>Surrey Heath Borough Council</t>
  </si>
  <si>
    <t>North East Purchasing Organisation</t>
  </si>
  <si>
    <t>S8708</t>
  </si>
  <si>
    <t>TickLink</t>
  </si>
  <si>
    <t>Has P.Order?</t>
  </si>
  <si>
    <t>Highland Council</t>
  </si>
  <si>
    <t>Price11</t>
  </si>
  <si>
    <t>Price12</t>
  </si>
  <si>
    <t>Price13</t>
  </si>
  <si>
    <t>Humberside Police</t>
  </si>
  <si>
    <t>E2336</t>
  </si>
  <si>
    <t>5C3</t>
  </si>
  <si>
    <t>City &amp; Hackney PCT</t>
  </si>
  <si>
    <t>The National Patient Safety Agency</t>
  </si>
  <si>
    <t>RL401</t>
  </si>
  <si>
    <t>Forest Heath District Council</t>
  </si>
  <si>
    <t>Forest of Dean District Council</t>
  </si>
  <si>
    <t>Gateshead Metropolitan Borough Council</t>
  </si>
  <si>
    <t>Guildford Borough Council</t>
  </si>
  <si>
    <t>Havant Borough Council</t>
  </si>
  <si>
    <t>Royal Borough of Greenwich</t>
  </si>
  <si>
    <t>St Albans City &amp; District Council</t>
  </si>
  <si>
    <t>Western Challenge Housing Association Ltd</t>
  </si>
  <si>
    <t>FSA</t>
  </si>
  <si>
    <t>-- Please select --</t>
  </si>
  <si>
    <t>Police</t>
  </si>
  <si>
    <t>Housing Association</t>
  </si>
  <si>
    <t>Organisation Type</t>
  </si>
  <si>
    <t>NNDR</t>
  </si>
  <si>
    <t>Price6</t>
  </si>
  <si>
    <t>Price7</t>
  </si>
  <si>
    <t>Price8</t>
  </si>
  <si>
    <t>Price9</t>
  </si>
  <si>
    <t>Price10</t>
  </si>
  <si>
    <t>Non-Domestic Rates</t>
  </si>
  <si>
    <t>Fife Constabulary</t>
  </si>
  <si>
    <t>UofS</t>
  </si>
  <si>
    <t>University of Sussex</t>
  </si>
  <si>
    <t>E1544</t>
  </si>
  <si>
    <t>Buying Solutions</t>
  </si>
  <si>
    <t>EmailAddress</t>
  </si>
  <si>
    <t>Lancashire Constabulary</t>
  </si>
  <si>
    <t>E6123</t>
  </si>
  <si>
    <t>Lancashire Fire &amp; Rescue Service</t>
  </si>
  <si>
    <t>LegSerC</t>
  </si>
  <si>
    <t>Legal Services Commission</t>
  </si>
  <si>
    <t>Northern Lincs &amp; Goole Hosp NHS Foundation Trust</t>
  </si>
  <si>
    <t>E6043</t>
  </si>
  <si>
    <t>8.</t>
  </si>
  <si>
    <t>9.</t>
  </si>
  <si>
    <t>South West Yorkshire Partnership NHS Foundation Trust</t>
  </si>
  <si>
    <t>Isle of Wight Council</t>
  </si>
  <si>
    <t>SpScot</t>
  </si>
  <si>
    <t>SportScotland</t>
  </si>
  <si>
    <t>RWW01</t>
  </si>
  <si>
    <t>Devon &amp; Somerset Fire &amp; Rescue Service</t>
  </si>
  <si>
    <t>Doncaster Metropolitan Borough Council</t>
  </si>
  <si>
    <t>Dorset County Council</t>
  </si>
  <si>
    <t>Dorset Fire &amp; Rescue Service</t>
  </si>
  <si>
    <t>Dorset Police</t>
  </si>
  <si>
    <t>Price14</t>
  </si>
  <si>
    <t>Price15</t>
  </si>
  <si>
    <t>Price16</t>
  </si>
  <si>
    <t>County Council</t>
  </si>
  <si>
    <t>District Council</t>
  </si>
  <si>
    <t>Unitary Council</t>
  </si>
  <si>
    <t>DiscountCode</t>
  </si>
  <si>
    <t>c</t>
  </si>
  <si>
    <t>d</t>
  </si>
  <si>
    <t>Subscription fees will be subject to an annual price review. All fees and charges as stated are exclusive of VAT.  VAT at standard rate will be added to the stated fee.</t>
  </si>
  <si>
    <t>Pricing 2012</t>
  </si>
  <si>
    <t>PMDiscount</t>
  </si>
  <si>
    <t>You must have a working email address and access to Excel 2003 (or later) to participate.
All correspondence will be sent by email.</t>
  </si>
  <si>
    <t>ABM University Local Health Board</t>
  </si>
  <si>
    <t>ABM</t>
  </si>
  <si>
    <t>AmicusHorizon Ltd</t>
  </si>
  <si>
    <t>2012w</t>
  </si>
  <si>
    <t>--</t>
  </si>
  <si>
    <t>x</t>
  </si>
  <si>
    <t>Prices:</t>
  </si>
  <si>
    <t>E0304</t>
  </si>
  <si>
    <t>E4605</t>
  </si>
  <si>
    <t>Audit</t>
  </si>
  <si>
    <t>Payroll</t>
  </si>
  <si>
    <t>Human Resources</t>
  </si>
  <si>
    <t>Treasury Management</t>
  </si>
  <si>
    <t>Insurance</t>
  </si>
  <si>
    <t>Benefits Administration</t>
  </si>
  <si>
    <t>W7403</t>
  </si>
  <si>
    <t>E1133</t>
  </si>
  <si>
    <t>E3836</t>
  </si>
  <si>
    <t>W7202</t>
  </si>
  <si>
    <t>S8403</t>
  </si>
  <si>
    <t>E1738</t>
  </si>
  <si>
    <t>E6026</t>
  </si>
  <si>
    <t>E1038</t>
  </si>
  <si>
    <t>E3731</t>
  </si>
  <si>
    <t>E6027</t>
  </si>
  <si>
    <t>E6130</t>
  </si>
  <si>
    <t>NHS Information Centre</t>
  </si>
  <si>
    <t>West Sussex County Council</t>
  </si>
  <si>
    <t>West Yorkshire Police</t>
  </si>
  <si>
    <t>London Borough of Croydon</t>
  </si>
  <si>
    <t>North Ayrshire Council</t>
  </si>
  <si>
    <t>Pensions Administration</t>
  </si>
  <si>
    <t>Address</t>
  </si>
  <si>
    <t>Postcode</t>
  </si>
  <si>
    <t>Email</t>
  </si>
  <si>
    <t>Title</t>
  </si>
  <si>
    <t>OAdd1</t>
  </si>
  <si>
    <t>OAdd2</t>
  </si>
  <si>
    <t>Tonbridge &amp; Malling Borough Council</t>
  </si>
  <si>
    <t>W7204</t>
  </si>
  <si>
    <t>Broxbourne Borough Council</t>
  </si>
  <si>
    <t>E6104</t>
  </si>
  <si>
    <t>Buckinghamshire &amp; Milton Keynes Fire Authority</t>
  </si>
  <si>
    <t>f</t>
  </si>
  <si>
    <t>E2333</t>
  </si>
  <si>
    <t>Burnley Borough Council</t>
  </si>
  <si>
    <t>BSO</t>
  </si>
  <si>
    <t>Pensions</t>
  </si>
  <si>
    <t>p</t>
  </si>
  <si>
    <t>ChkRenew</t>
  </si>
  <si>
    <t>Elmbridge Borough Council</t>
  </si>
  <si>
    <t>ENVIRON</t>
  </si>
  <si>
    <t>Environment Agency</t>
  </si>
  <si>
    <t>E3632</t>
  </si>
  <si>
    <t>Epsom &amp; Ewell Borough Council</t>
  </si>
  <si>
    <t>RVR</t>
  </si>
  <si>
    <t>E3202</t>
  </si>
  <si>
    <t>Northern Ireland Housing Executive</t>
  </si>
  <si>
    <t>Tier</t>
  </si>
  <si>
    <t>Department</t>
  </si>
  <si>
    <t>Waverley Borough Council</t>
  </si>
  <si>
    <t>E1140</t>
  </si>
  <si>
    <t>West Devon Borough Council</t>
  </si>
  <si>
    <t>E1237</t>
  </si>
  <si>
    <t>West Midlands Police</t>
  </si>
  <si>
    <t>E3135</t>
  </si>
  <si>
    <t>West Oxfordshire District Council</t>
  </si>
  <si>
    <t>E6147</t>
  </si>
  <si>
    <t>West Yorkshire Fire &amp; Rescue Service</t>
  </si>
  <si>
    <t>XWestern Challenge</t>
  </si>
  <si>
    <t>South Derbyshire District Council</t>
  </si>
  <si>
    <t>SEEDA</t>
  </si>
  <si>
    <t>South East England Development Agency</t>
  </si>
  <si>
    <t>Accountancy</t>
  </si>
  <si>
    <t>North West Leicestershire Council</t>
  </si>
  <si>
    <t>5NV</t>
  </si>
  <si>
    <t>North Yorkshire and York PCT</t>
  </si>
  <si>
    <t>E6127</t>
  </si>
  <si>
    <t>London Borough of Ealing</t>
  </si>
  <si>
    <t>East Lindsey District Council</t>
  </si>
  <si>
    <t>East Northamptonshire District Council</t>
  </si>
  <si>
    <t>E4403</t>
  </si>
  <si>
    <t>E3038</t>
  </si>
  <si>
    <t>National Savings And Investments</t>
  </si>
  <si>
    <t>NSG</t>
  </si>
  <si>
    <t>National School of Government</t>
  </si>
  <si>
    <t>South Yorkshire Police</t>
  </si>
  <si>
    <t>Southampton City Council</t>
  </si>
  <si>
    <t>Southend-on-Sea Borough Council</t>
  </si>
  <si>
    <t>London Borough of Southwark</t>
  </si>
  <si>
    <t>Spelthorne Borough Council</t>
  </si>
  <si>
    <t>Oldham Metropolitan Borough Council</t>
  </si>
  <si>
    <t>Hyndburn Borough Council</t>
  </si>
  <si>
    <t>IPCC</t>
  </si>
  <si>
    <t>Independent Police Complaints Commission</t>
  </si>
  <si>
    <t>5QT</t>
  </si>
  <si>
    <t>Basingstoke &amp; North Hampshire NHSFT</t>
  </si>
  <si>
    <t>E3032</t>
  </si>
  <si>
    <t>Bassetlaw District Council</t>
  </si>
  <si>
    <t>E1201</t>
  </si>
  <si>
    <t>W7501</t>
  </si>
  <si>
    <t>S8701</t>
  </si>
  <si>
    <t>BulkDisc</t>
  </si>
  <si>
    <t>NetPrice</t>
  </si>
  <si>
    <t>London Borough of Wandsworth</t>
  </si>
  <si>
    <t>LDA</t>
  </si>
  <si>
    <t>Bristol City Council</t>
  </si>
  <si>
    <t>First name</t>
  </si>
  <si>
    <t>Last name</t>
  </si>
  <si>
    <t>Angus Council</t>
  </si>
  <si>
    <t>E3031</t>
  </si>
  <si>
    <t>Ashfield District Council</t>
  </si>
  <si>
    <t>E2231</t>
  </si>
  <si>
    <t>Ashford Borough Council</t>
  </si>
  <si>
    <t>AC</t>
  </si>
  <si>
    <t>Audit Commission</t>
  </si>
  <si>
    <t>East Renfrewshire Council</t>
  </si>
  <si>
    <t>East Riding of Yorkshire Council</t>
  </si>
  <si>
    <t>East Staffordshire Borough Council</t>
  </si>
  <si>
    <t>Stroud District Council</t>
  </si>
  <si>
    <t>E6035</t>
  </si>
  <si>
    <t>Suffolk Police</t>
  </si>
  <si>
    <t>SssxP</t>
  </si>
  <si>
    <t>Surrey &amp; Sussex Probation Trust</t>
  </si>
  <si>
    <t>E3638</t>
  </si>
  <si>
    <t>E1851</t>
  </si>
  <si>
    <t>Grampian Police</t>
  </si>
  <si>
    <t>E2236</t>
  </si>
  <si>
    <t>Price5</t>
  </si>
  <si>
    <t>E0305</t>
  </si>
  <si>
    <t>E4305</t>
  </si>
  <si>
    <t>E4607</t>
  </si>
  <si>
    <t>London Borough of Enfield</t>
  </si>
  <si>
    <t>CIPFA</t>
  </si>
  <si>
    <t>o</t>
  </si>
  <si>
    <t>h</t>
  </si>
  <si>
    <t>North Central London NHS Cluster</t>
  </si>
  <si>
    <t>NCL</t>
  </si>
  <si>
    <t>Stockton-on-Tees Teaching PCT</t>
  </si>
  <si>
    <t>S6187</t>
  </si>
  <si>
    <t>Strathclyde Fire &amp; Rescue</t>
  </si>
  <si>
    <t>S6087</t>
  </si>
  <si>
    <t>5QL</t>
  </si>
  <si>
    <t>Somerset PCT</t>
  </si>
  <si>
    <t>S8710</t>
  </si>
  <si>
    <t>South Ayrshire Council</t>
  </si>
  <si>
    <t>5M1</t>
  </si>
  <si>
    <t>South Birmingham Community Health</t>
  </si>
  <si>
    <t>E0434</t>
  </si>
  <si>
    <t>South Bucks District Council</t>
  </si>
  <si>
    <t>E1039</t>
  </si>
  <si>
    <t>Each subscriber should nominate a designated lead officer for each club, who must be an employee of the authority.  Reports and other material produced for the club will only be sent to this officer.</t>
  </si>
  <si>
    <t>E2241</t>
  </si>
  <si>
    <t>E0202</t>
  </si>
  <si>
    <t>Same originator Email as last year?</t>
  </si>
  <si>
    <t>Kent Fire &amp; Rescue Service</t>
  </si>
  <si>
    <t>E2820</t>
  </si>
  <si>
    <t>XNorthern Ireland Housing</t>
  </si>
  <si>
    <t>Dorset County Hospital NHS Foundation Trust</t>
  </si>
  <si>
    <t>E2234</t>
  </si>
  <si>
    <t>Health &amp; Safety Executive</t>
  </si>
  <si>
    <t>RD7</t>
  </si>
  <si>
    <t>Carlisle City Council</t>
  </si>
  <si>
    <t>Castle Point Borough Council</t>
  </si>
  <si>
    <t>Devon County Council</t>
  </si>
  <si>
    <t>Devon &amp; Cornwall Police</t>
  </si>
  <si>
    <t>Moray Council</t>
  </si>
  <si>
    <t>CONTACT DETAILS FOR INVOICING</t>
  </si>
  <si>
    <t>Newark &amp; Sherwood District Council</t>
  </si>
  <si>
    <t>Wyre Forest Community Housing Ltd</t>
  </si>
  <si>
    <t>City of York Council</t>
  </si>
  <si>
    <t>E0931</t>
  </si>
  <si>
    <t>E6050</t>
  </si>
  <si>
    <t>N9001</t>
  </si>
  <si>
    <t>Bene</t>
  </si>
  <si>
    <t>Cred</t>
  </si>
  <si>
    <t>Legal Services</t>
  </si>
  <si>
    <t>LATE DATA</t>
  </si>
  <si>
    <t>E1032</t>
  </si>
  <si>
    <t>Communities and Local Government</t>
  </si>
  <si>
    <t>CC</t>
  </si>
  <si>
    <t>London Development Agency</t>
  </si>
  <si>
    <t>E3433</t>
  </si>
  <si>
    <t>E2533</t>
  </si>
  <si>
    <t>E2520</t>
  </si>
  <si>
    <t>E4302</t>
  </si>
  <si>
    <t>E0201</t>
  </si>
  <si>
    <t>South Yorkshire Pensions Authority</t>
  </si>
  <si>
    <t>E3837</t>
  </si>
  <si>
    <t>The City of Edinburgh Council</t>
  </si>
  <si>
    <t>Merseyside Fire and Rescue Service</t>
  </si>
  <si>
    <t>Peterborough City Council</t>
  </si>
  <si>
    <t>Plymouth City Council</t>
  </si>
  <si>
    <t>Caerphilly County Borough Council</t>
  </si>
  <si>
    <t>Lichfield District Council</t>
  </si>
  <si>
    <t>Lincoln City Council</t>
  </si>
  <si>
    <t>North Yorkshire Fire &amp; Rescue Service</t>
  </si>
  <si>
    <t>RNS</t>
  </si>
  <si>
    <t>Northampton General Hospital NHS Trust</t>
  </si>
  <si>
    <t>E6028</t>
  </si>
  <si>
    <t>Northamptonshire Police Force</t>
  </si>
  <si>
    <t>N6190</t>
  </si>
  <si>
    <t>Northern Ireland Fire &amp; Rescue Service</t>
  </si>
  <si>
    <t>Current Member</t>
  </si>
  <si>
    <t>Previous Member</t>
  </si>
  <si>
    <t>E6010</t>
  </si>
  <si>
    <t>Derbyshire Police</t>
  </si>
  <si>
    <t>E3733</t>
  </si>
  <si>
    <t>ScotCourt</t>
  </si>
  <si>
    <t>SEEduc</t>
  </si>
  <si>
    <t>E2239</t>
  </si>
  <si>
    <t>E2535</t>
  </si>
  <si>
    <t>Epping Forest District Council</t>
  </si>
  <si>
    <t>Erewash Borough Council</t>
  </si>
  <si>
    <t>E0102</t>
  </si>
  <si>
    <t>Business Services Organisation</t>
  </si>
  <si>
    <t>BuyS</t>
  </si>
  <si>
    <t>Calderstones Partnership NHS Foundation Trust</t>
  </si>
  <si>
    <t>E6005</t>
  </si>
  <si>
    <t>Newham Primary Care Trust</t>
  </si>
  <si>
    <t>NHS24</t>
  </si>
  <si>
    <t>NHS 24</t>
  </si>
  <si>
    <t>NHSBT</t>
  </si>
  <si>
    <t>NHS Blood And Transplant</t>
  </si>
  <si>
    <t>NHSBSA</t>
  </si>
  <si>
    <t>NHS Business Services Authority</t>
  </si>
  <si>
    <t>Cambridgeshire Constabulary</t>
  </si>
  <si>
    <t>E2232</t>
  </si>
  <si>
    <t>Canterbury City Council</t>
  </si>
  <si>
    <t>CardiffVale</t>
  </si>
  <si>
    <t>Cardiff &amp; Vale NHS Trust</t>
  </si>
  <si>
    <t>CVUHB</t>
  </si>
  <si>
    <t>Cardiff and Vale University Health Board</t>
  </si>
  <si>
    <t>W7102</t>
  </si>
  <si>
    <t>Carmarthenshire County Council</t>
  </si>
  <si>
    <t>5NP</t>
  </si>
  <si>
    <t>formula in cell below</t>
  </si>
  <si>
    <t>Join date</t>
  </si>
  <si>
    <t>East Hampshire District Council</t>
  </si>
  <si>
    <t>London Borough of Hackney</t>
  </si>
  <si>
    <t>Melton Borough Council</t>
  </si>
  <si>
    <t>E3331</t>
  </si>
  <si>
    <t>Mendip District Council</t>
  </si>
  <si>
    <t>RW4</t>
  </si>
  <si>
    <t>Mersey Care NHS Trust</t>
  </si>
  <si>
    <t>North Yorkshire Police</t>
  </si>
  <si>
    <t>Northampton Borough Council</t>
  </si>
  <si>
    <t>Northamptonshire County Council</t>
  </si>
  <si>
    <t>MemLong</t>
  </si>
  <si>
    <t>MemSort</t>
  </si>
  <si>
    <t>PurchOrder</t>
  </si>
  <si>
    <t>- Other -</t>
  </si>
  <si>
    <t>Extracted tier:</t>
  </si>
  <si>
    <t>Bank of England</t>
  </si>
  <si>
    <t>BoE</t>
  </si>
  <si>
    <t>Orkney Islands Council</t>
  </si>
  <si>
    <t>Oxford City Council</t>
  </si>
  <si>
    <r>
      <t>For</t>
    </r>
    <r>
      <rPr>
        <b/>
        <sz val="10"/>
        <rFont val="Verdana"/>
        <family val="2"/>
      </rPr>
      <t xml:space="preserve"> each club</t>
    </r>
    <r>
      <rPr>
        <sz val="10"/>
        <rFont val="Verdana"/>
        <family val="2"/>
      </rPr>
      <t xml:space="preserve"> we need a designated Club Contact to represent your organisation.  Contacts named below will receive all communications about their clubs, including the questionnaire, reports and all emails concerning meetings, reminders, deadlines, or amendments.  They will also serve as our point of contact for queries about your data.</t>
    </r>
  </si>
  <si>
    <t>Valuation Office Agency</t>
  </si>
  <si>
    <t>VOSA</t>
  </si>
  <si>
    <t>Vehicle &amp; Operator Services Agency</t>
  </si>
  <si>
    <t>5N3</t>
  </si>
  <si>
    <t>Wakefield District Primary Care Trust</t>
  </si>
  <si>
    <t>5NC</t>
  </si>
  <si>
    <t>South Eastern Trust, Northern Ireland</t>
  </si>
  <si>
    <t>Should you wish to cancel your subscription renewal you must do so in writing or by e-mail before 31st January. A subscriber may cancel the subscription mid-term but fees are not returnable. Any cancellations should be addressed to benchmarking@cipfa.org.uk</t>
  </si>
  <si>
    <t>Waltham Forest Primary Care Trust</t>
  </si>
  <si>
    <t>RWW</t>
  </si>
  <si>
    <t>E3033</t>
  </si>
  <si>
    <t>E0421</t>
  </si>
  <si>
    <t>E4202</t>
  </si>
  <si>
    <t>W7402</t>
  </si>
  <si>
    <t>E1937</t>
  </si>
  <si>
    <t>E6002</t>
  </si>
  <si>
    <t>West Midlands Fire Service</t>
  </si>
  <si>
    <t>E6046</t>
  </si>
  <si>
    <t>RNA</t>
  </si>
  <si>
    <t>E0521</t>
  </si>
  <si>
    <t>E5011</t>
  </si>
  <si>
    <t>E3431</t>
  </si>
  <si>
    <t>W7601</t>
  </si>
  <si>
    <t>E0933</t>
  </si>
  <si>
    <t>E1534</t>
  </si>
  <si>
    <t>E1535</t>
  </si>
  <si>
    <t>E1631</t>
  </si>
  <si>
    <t>E3131</t>
  </si>
  <si>
    <t>E0604</t>
  </si>
  <si>
    <t>E1033</t>
  </si>
  <si>
    <t>E3833</t>
  </si>
  <si>
    <t>E1232</t>
  </si>
  <si>
    <t>Central Bedfordshire Council</t>
  </si>
  <si>
    <t>Ceredigion County Council</t>
  </si>
  <si>
    <t>Charnwood Borough Council</t>
  </si>
  <si>
    <t>Chelmsford Borough Council</t>
  </si>
  <si>
    <t>Royal Liverpool &amp; Broadgreen University Hospitals NHS Trust</t>
  </si>
  <si>
    <t>RAN</t>
  </si>
  <si>
    <t>Northwest Regional Development Agency</t>
  </si>
  <si>
    <t>E2636</t>
  </si>
  <si>
    <t>Uttlesford District Council</t>
  </si>
  <si>
    <t>E3134</t>
  </si>
  <si>
    <t>W7401</t>
  </si>
  <si>
    <t>W7101</t>
  </si>
  <si>
    <t>E6106</t>
  </si>
  <si>
    <t>E2334</t>
  </si>
  <si>
    <t>CirHousing</t>
  </si>
  <si>
    <t>CumbriaFire</t>
  </si>
  <si>
    <t>Interactive Excel report enabling further analysis</t>
  </si>
  <si>
    <t>Gravesham Borough Council</t>
  </si>
  <si>
    <t>RN3</t>
  </si>
  <si>
    <t>Great Western Hospitals NHS Foundation Trust</t>
  </si>
  <si>
    <t>E5100</t>
  </si>
  <si>
    <t>Greater London Authority</t>
  </si>
  <si>
    <t>E6042</t>
  </si>
  <si>
    <t>E5033</t>
  </si>
  <si>
    <t>E1533</t>
  </si>
  <si>
    <t>Training and Development Agency for Schools</t>
  </si>
  <si>
    <t>TfL</t>
  </si>
  <si>
    <t>Transport for London</t>
  </si>
  <si>
    <t>Banking</t>
  </si>
  <si>
    <t>By joining the club, members will be deemed to have authorised CIPFA to make their data available to other club members.</t>
  </si>
  <si>
    <t>THE PRODUCT</t>
  </si>
  <si>
    <t>1.</t>
  </si>
  <si>
    <t>Warrington and Halton Hospitals NHS Foundation Trust</t>
  </si>
  <si>
    <t>E6037</t>
  </si>
  <si>
    <t>Warwickshire Police</t>
  </si>
  <si>
    <t>Norwich City Council</t>
  </si>
  <si>
    <t>E6030</t>
  </si>
  <si>
    <t>Nottinghamshire Police</t>
  </si>
  <si>
    <t>E2438</t>
  </si>
  <si>
    <t>Oadby &amp; Wigston Borough Council</t>
  </si>
  <si>
    <t>ONS</t>
  </si>
  <si>
    <t>Phone</t>
  </si>
  <si>
    <t>Email address</t>
  </si>
  <si>
    <t>Club</t>
  </si>
  <si>
    <t>Add1</t>
  </si>
  <si>
    <t>Add2</t>
  </si>
  <si>
    <t>Add3</t>
  </si>
  <si>
    <t>Add4</t>
  </si>
  <si>
    <t>Royal National Orthopaedic Hospital NHS Trust</t>
  </si>
  <si>
    <t>E3636</t>
  </si>
  <si>
    <t>Runnymede Borough Council</t>
  </si>
  <si>
    <t>CONFIDENTIALITY</t>
  </si>
  <si>
    <t>E2637</t>
  </si>
  <si>
    <t>E2836</t>
  </si>
  <si>
    <t>E3334</t>
  </si>
  <si>
    <t>E3435</t>
  </si>
  <si>
    <t>E4504</t>
  </si>
  <si>
    <t>XSouth Yorkshire</t>
  </si>
  <si>
    <t>E1702</t>
  </si>
  <si>
    <t>Avon &amp; Wiltshire Mental Health Partnership NHST</t>
  </si>
  <si>
    <t>E3531</t>
  </si>
  <si>
    <t>Launch2</t>
  </si>
  <si>
    <t>E0203</t>
  </si>
  <si>
    <t>E2432</t>
  </si>
  <si>
    <t>Reading Borough Council</t>
  </si>
  <si>
    <t>London Borough of Redbridge</t>
  </si>
  <si>
    <t>Redcar &amp; Cleveland Borough Council</t>
  </si>
  <si>
    <t>Reigate &amp; Banstead Borough Council</t>
  </si>
  <si>
    <t>Renfrewshire Council</t>
  </si>
  <si>
    <t>Rhondda Cynon Taff County Borough Council</t>
  </si>
  <si>
    <t>Allerdale Borough Council</t>
  </si>
  <si>
    <t>Amber Valley Borough Council</t>
  </si>
  <si>
    <t>Central Scotland Fire &amp; Rescue Service</t>
  </si>
  <si>
    <t>RQM</t>
  </si>
  <si>
    <t>Crown Prosecution Service</t>
  </si>
  <si>
    <t>E6009</t>
  </si>
  <si>
    <t>OFSTED</t>
  </si>
  <si>
    <t>ONE</t>
  </si>
  <si>
    <t>One NorthEast</t>
  </si>
  <si>
    <t>OS</t>
  </si>
  <si>
    <t>Ordnance Survey</t>
  </si>
  <si>
    <t>RNU</t>
  </si>
  <si>
    <t>TSOL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</si>
</sst>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0;;\-#,##0"/>
    <numFmt numFmtId="178" formatCode="#,##0;#;\-#,##0"/>
    <numFmt numFmtId="179" formatCode="#,##0;&quot;&quot;;\-#,##0"/>
    <numFmt numFmtId="180" formatCode="&quot;£&quot;#,##0"/>
    <numFmt numFmtId="181" formatCode="dd/mm/yy;@"/>
    <numFmt numFmtId="182" formatCode="dd/mm/yy"/>
    <numFmt numFmtId="183" formatCode="dd\ mmm"/>
    <numFmt numFmtId="184" formatCode="0.000000"/>
    <numFmt numFmtId="185" formatCode="dd/mm/yyyy;@"/>
    <numFmt numFmtId="186" formatCode="mmm\-yyyy"/>
    <numFmt numFmtId="187" formatCode="&quot;£&quot;#,##0.00"/>
  </numFmts>
  <fonts count="83">
    <font>
      <sz val="10"/>
      <name val="Arial"/>
      <family val="0"/>
    </font>
    <font>
      <sz val="8"/>
      <name val="Tahoma"/>
      <family val="2"/>
    </font>
    <font>
      <sz val="8"/>
      <name val="Arial"/>
      <family val="2"/>
    </font>
    <font>
      <b/>
      <sz val="15"/>
      <color indexed="62"/>
      <name val="Calibri"/>
      <family val="2"/>
    </font>
    <font>
      <b/>
      <sz val="11"/>
      <color indexed="62"/>
      <name val="Calibri"/>
      <family val="2"/>
    </font>
    <font>
      <b/>
      <sz val="18"/>
      <color indexed="62"/>
      <name val="Cambria"/>
      <family val="2"/>
    </font>
    <font>
      <sz val="10"/>
      <name val="Verdana"/>
      <family val="2"/>
    </font>
    <font>
      <sz val="28"/>
      <color indexed="18"/>
      <name val="Verdana"/>
      <family val="2"/>
    </font>
    <font>
      <b/>
      <sz val="11"/>
      <name val="Verdana"/>
      <family val="2"/>
    </font>
    <font>
      <sz val="28"/>
      <name val="Verdana"/>
      <family val="2"/>
    </font>
    <font>
      <sz val="20"/>
      <name val="Verdana"/>
      <family val="2"/>
    </font>
    <font>
      <b/>
      <sz val="20"/>
      <color indexed="18"/>
      <name val="Verdana"/>
      <family val="2"/>
    </font>
    <font>
      <b/>
      <sz val="8"/>
      <name val="Verdana"/>
      <family val="2"/>
    </font>
    <font>
      <sz val="10"/>
      <color indexed="18"/>
      <name val="Verdana"/>
      <family val="2"/>
    </font>
    <font>
      <b/>
      <sz val="10"/>
      <color indexed="18"/>
      <name val="Verdana"/>
      <family val="2"/>
    </font>
    <font>
      <u val="single"/>
      <sz val="10"/>
      <color indexed="12"/>
      <name val="Verdana"/>
      <family val="2"/>
    </font>
    <font>
      <i/>
      <sz val="10"/>
      <name val="Verdana"/>
      <family val="2"/>
    </font>
    <font>
      <i/>
      <sz val="9"/>
      <color indexed="18"/>
      <name val="Verdana"/>
      <family val="2"/>
    </font>
    <font>
      <sz val="10"/>
      <color indexed="12"/>
      <name val="Verdana"/>
      <family val="2"/>
    </font>
    <font>
      <b/>
      <sz val="10"/>
      <name val="Verdana"/>
      <family val="2"/>
    </font>
    <font>
      <sz val="12"/>
      <name val="Verdana"/>
      <family val="2"/>
    </font>
    <font>
      <sz val="11"/>
      <name val="Verdana"/>
      <family val="2"/>
    </font>
    <font>
      <sz val="8"/>
      <name val="Verdana"/>
      <family val="2"/>
    </font>
    <font>
      <b/>
      <i/>
      <sz val="8"/>
      <name val="Verdana"/>
      <family val="2"/>
    </font>
    <font>
      <b/>
      <i/>
      <sz val="10"/>
      <color indexed="18"/>
      <name val="Verdana"/>
      <family val="2"/>
    </font>
    <font>
      <b/>
      <u val="single"/>
      <sz val="11"/>
      <name val="Verdana"/>
      <family val="2"/>
    </font>
    <font>
      <b/>
      <i/>
      <sz val="10"/>
      <name val="Verdana"/>
      <family val="2"/>
    </font>
    <font>
      <i/>
      <sz val="11"/>
      <name val="Verdana"/>
      <family val="2"/>
    </font>
    <font>
      <i/>
      <sz val="9"/>
      <color indexed="10"/>
      <name val="Verdana"/>
      <family val="2"/>
    </font>
    <font>
      <sz val="20"/>
      <color indexed="18"/>
      <name val="Verdana"/>
      <family val="2"/>
    </font>
    <font>
      <b/>
      <sz val="10"/>
      <color indexed="20"/>
      <name val="Verdana"/>
      <family val="2"/>
    </font>
    <font>
      <b/>
      <sz val="10"/>
      <color indexed="12"/>
      <name val="Verdana"/>
      <family val="2"/>
    </font>
    <font>
      <sz val="9"/>
      <color indexed="10"/>
      <name val="Verdana"/>
      <family val="2"/>
    </font>
    <font>
      <sz val="10"/>
      <color indexed="10"/>
      <name val="Verdana"/>
      <family val="2"/>
    </font>
    <font>
      <b/>
      <sz val="10"/>
      <color indexed="10"/>
      <name val="Verdana"/>
      <family val="2"/>
    </font>
    <font>
      <sz val="10"/>
      <color indexed="8"/>
      <name val="Verdana"/>
      <family val="2"/>
    </font>
    <font>
      <sz val="11"/>
      <color indexed="8"/>
      <name val="Verdana"/>
      <family val="2"/>
    </font>
    <font>
      <b/>
      <sz val="12"/>
      <name val="Verdana"/>
      <family val="2"/>
    </font>
    <font>
      <b/>
      <sz val="12"/>
      <color indexed="9"/>
      <name val="Verdana"/>
      <family val="2"/>
    </font>
    <font>
      <sz val="8"/>
      <color indexed="12"/>
      <name val="Verdana"/>
      <family val="2"/>
    </font>
    <font>
      <sz val="10"/>
      <color indexed="61"/>
      <name val="Verdana"/>
      <family val="2"/>
    </font>
    <font>
      <sz val="18"/>
      <color indexed="9"/>
      <name val="Verdana"/>
      <family val="2"/>
    </font>
    <font>
      <u val="single"/>
      <sz val="10"/>
      <color indexed="36"/>
      <name val="Verdana"/>
      <family val="2"/>
    </font>
    <font>
      <sz val="9"/>
      <name val="Verdana"/>
      <family val="2"/>
    </font>
    <font>
      <sz val="20"/>
      <color indexed="34"/>
      <name val="Verdana"/>
      <family val="2"/>
    </font>
    <font>
      <b/>
      <sz val="12"/>
      <color indexed="34"/>
      <name val="Verdana"/>
      <family val="2"/>
    </font>
    <font>
      <sz val="10"/>
      <color indexed="34"/>
      <name val="Verdana"/>
      <family val="2"/>
    </font>
    <font>
      <i/>
      <sz val="9"/>
      <name val="Verdana"/>
      <family val="2"/>
    </font>
    <font>
      <sz val="11"/>
      <color indexed="34"/>
      <name val="Verdana"/>
      <family val="2"/>
    </font>
    <font>
      <sz val="12"/>
      <color indexed="34"/>
      <name val="Verdana"/>
      <family val="2"/>
    </font>
    <font>
      <b/>
      <sz val="11"/>
      <color indexed="34"/>
      <name val="Verdana"/>
      <family val="2"/>
    </font>
    <font>
      <i/>
      <sz val="11"/>
      <color indexed="34"/>
      <name val="Verdana"/>
      <family val="2"/>
    </font>
    <font>
      <sz val="28"/>
      <color indexed="34"/>
      <name val="Verdana"/>
      <family val="2"/>
    </font>
    <font>
      <sz val="18"/>
      <color indexed="34"/>
      <name val="Verdana"/>
      <family val="2"/>
    </font>
    <font>
      <sz val="8"/>
      <color indexed="34"/>
      <name val="Verdana"/>
      <family val="2"/>
    </font>
    <font>
      <b/>
      <sz val="10"/>
      <color indexed="9"/>
      <name val="Verdana"/>
      <family val="2"/>
    </font>
    <font>
      <sz val="8"/>
      <color indexed="22"/>
      <name val="Verdana"/>
      <family val="2"/>
    </font>
    <font>
      <sz val="10"/>
      <color indexed="22"/>
      <name val="Verdana"/>
      <family val="2"/>
    </font>
    <font>
      <b/>
      <sz val="10"/>
      <color indexed="34"/>
      <name val="Verdana"/>
      <family val="2"/>
    </font>
    <font>
      <i/>
      <sz val="8"/>
      <name val="Verdana"/>
      <family val="2"/>
    </font>
    <font>
      <sz val="9"/>
      <color indexed="9"/>
      <name val="Verdana"/>
      <family val="2"/>
    </font>
    <font>
      <b/>
      <sz val="10"/>
      <color indexed="61"/>
      <name val="Verdana"/>
      <family val="2"/>
    </font>
    <font>
      <b/>
      <sz val="10"/>
      <color indexed="23"/>
      <name val="Verdana"/>
      <family val="2"/>
    </font>
    <font>
      <b/>
      <sz val="9"/>
      <color indexed="20"/>
      <name val="Verdana"/>
      <family val="2"/>
    </font>
    <font>
      <sz val="8"/>
      <color indexed="20"/>
      <name val="Verdana"/>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color indexed="8"/>
      <name val="Verdana"/>
      <family val="0"/>
    </font>
    <font>
      <b/>
      <sz val="10"/>
      <color indexed="34"/>
      <name val="Arial"/>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50"/>
        <bgColor indexed="64"/>
      </patternFill>
    </fill>
    <fill>
      <patternFill patternType="solid">
        <fgColor indexed="41"/>
        <bgColor indexed="64"/>
      </patternFill>
    </fill>
    <fill>
      <patternFill patternType="solid">
        <fgColor indexed="34"/>
        <bgColor indexed="64"/>
      </patternFill>
    </fill>
    <fill>
      <patternFill patternType="solid">
        <fgColor indexed="27"/>
        <bgColor indexed="64"/>
      </patternFill>
    </fill>
    <fill>
      <patternFill patternType="solid">
        <fgColor indexed="37"/>
        <bgColor indexed="64"/>
      </patternFill>
    </fill>
    <fill>
      <patternFill patternType="solid">
        <fgColor indexed="22"/>
        <bgColor indexed="64"/>
      </patternFill>
    </fill>
    <fill>
      <patternFill patternType="solid">
        <fgColor indexed="51"/>
        <bgColor indexed="64"/>
      </patternFill>
    </fill>
    <fill>
      <patternFill patternType="solid">
        <fgColor indexed="38"/>
        <bgColor indexed="64"/>
      </patternFill>
    </fill>
    <fill>
      <patternFill patternType="solid">
        <fgColor indexed="3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color indexed="34"/>
      </bottom>
    </border>
    <border>
      <left style="medium">
        <color indexed="34"/>
      </left>
      <right>
        <color indexed="63"/>
      </right>
      <top>
        <color indexed="63"/>
      </top>
      <bottom>
        <color indexed="63"/>
      </bottom>
    </border>
    <border>
      <left>
        <color indexed="63"/>
      </left>
      <right style="medium">
        <color indexed="34"/>
      </right>
      <top>
        <color indexed="63"/>
      </top>
      <bottom>
        <color indexed="63"/>
      </bottom>
    </border>
    <border>
      <left style="medium">
        <color indexed="34"/>
      </left>
      <right>
        <color indexed="63"/>
      </right>
      <top>
        <color indexed="63"/>
      </top>
      <bottom style="medium">
        <color indexed="34"/>
      </bottom>
    </border>
    <border>
      <left>
        <color indexed="63"/>
      </left>
      <right>
        <color indexed="63"/>
      </right>
      <top>
        <color indexed="63"/>
      </top>
      <bottom style="medium">
        <color indexed="34"/>
      </bottom>
    </border>
    <border>
      <left>
        <color indexed="63"/>
      </left>
      <right style="medium">
        <color indexed="34"/>
      </right>
      <top>
        <color indexed="63"/>
      </top>
      <bottom style="medium">
        <color indexed="34"/>
      </bottom>
    </border>
    <border>
      <left style="thick">
        <color indexed="34"/>
      </left>
      <right>
        <color indexed="63"/>
      </right>
      <top style="thick">
        <color indexed="34"/>
      </top>
      <bottom>
        <color indexed="63"/>
      </bottom>
    </border>
    <border>
      <left>
        <color indexed="63"/>
      </left>
      <right>
        <color indexed="63"/>
      </right>
      <top style="thick">
        <color indexed="34"/>
      </top>
      <bottom>
        <color indexed="63"/>
      </bottom>
    </border>
    <border>
      <left style="thick">
        <color indexed="34"/>
      </left>
      <right>
        <color indexed="63"/>
      </right>
      <top>
        <color indexed="63"/>
      </top>
      <bottom>
        <color indexed="63"/>
      </bottom>
    </border>
    <border>
      <left>
        <color indexed="63"/>
      </left>
      <right style="thick">
        <color indexed="34"/>
      </right>
      <top>
        <color indexed="63"/>
      </top>
      <bottom>
        <color indexed="63"/>
      </bottom>
    </border>
    <border>
      <left style="thick">
        <color indexed="34"/>
      </left>
      <right>
        <color indexed="63"/>
      </right>
      <top>
        <color indexed="63"/>
      </top>
      <bottom style="thick">
        <color indexed="34"/>
      </bottom>
    </border>
    <border>
      <left>
        <color indexed="63"/>
      </left>
      <right>
        <color indexed="63"/>
      </right>
      <top>
        <color indexed="63"/>
      </top>
      <bottom style="thick">
        <color indexed="34"/>
      </bottom>
    </border>
    <border>
      <left style="medium">
        <color indexed="34"/>
      </left>
      <right>
        <color indexed="63"/>
      </right>
      <top style="thin">
        <color indexed="34"/>
      </top>
      <bottom style="medium">
        <color indexed="34"/>
      </bottom>
    </border>
    <border>
      <left>
        <color indexed="63"/>
      </left>
      <right>
        <color indexed="63"/>
      </right>
      <top style="thin">
        <color indexed="34"/>
      </top>
      <bottom style="medium">
        <color indexed="34"/>
      </bottom>
    </border>
    <border>
      <left>
        <color indexed="63"/>
      </left>
      <right>
        <color indexed="63"/>
      </right>
      <top style="medium">
        <color indexed="34"/>
      </top>
      <bottom>
        <color indexed="63"/>
      </bottom>
    </border>
    <border>
      <left style="thick">
        <color indexed="13"/>
      </left>
      <right style="thick">
        <color indexed="13"/>
      </right>
      <top style="thick">
        <color indexed="13"/>
      </top>
      <bottom style="thick">
        <color indexed="13"/>
      </bottom>
    </border>
    <border>
      <left>
        <color indexed="63"/>
      </left>
      <right>
        <color indexed="63"/>
      </right>
      <top style="thin"/>
      <bottom style="thin"/>
    </border>
    <border>
      <left>
        <color indexed="63"/>
      </left>
      <right style="thin"/>
      <top style="thin">
        <color indexed="12"/>
      </top>
      <bottom style="thin">
        <color indexed="1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ck">
        <color indexed="34"/>
      </right>
      <top style="thick">
        <color indexed="34"/>
      </top>
      <bottom>
        <color indexed="63"/>
      </bottom>
    </border>
    <border>
      <left>
        <color indexed="63"/>
      </left>
      <right style="medium">
        <color indexed="34"/>
      </right>
      <top style="thin">
        <color indexed="34"/>
      </top>
      <bottom style="medium">
        <color indexed="34"/>
      </bottom>
    </border>
    <border>
      <left style="medium">
        <color indexed="34"/>
      </left>
      <right>
        <color indexed="63"/>
      </right>
      <top style="medium">
        <color indexed="34"/>
      </top>
      <bottom>
        <color indexed="63"/>
      </bottom>
    </border>
    <border>
      <left>
        <color indexed="63"/>
      </left>
      <right style="medium">
        <color indexed="34"/>
      </right>
      <top style="medium">
        <color indexed="34"/>
      </top>
      <bottom>
        <color indexed="63"/>
      </bottom>
    </border>
    <border>
      <left>
        <color indexed="63"/>
      </left>
      <right>
        <color indexed="63"/>
      </right>
      <top style="thick">
        <color indexed="20"/>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ck">
        <color indexed="34"/>
      </right>
      <top>
        <color indexed="63"/>
      </top>
      <bottom style="thick">
        <color indexed="3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2" borderId="0" applyNumberFormat="0" applyBorder="0" applyAlignment="0" applyProtection="0"/>
    <xf numFmtId="0" fontId="67" fillId="5" borderId="0" applyNumberFormat="0" applyBorder="0" applyAlignment="0" applyProtection="0"/>
    <xf numFmtId="0" fontId="67" fillId="3"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4" borderId="0" applyNumberFormat="0" applyBorder="0" applyAlignment="0" applyProtection="0"/>
    <xf numFmtId="0" fontId="67" fillId="6"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8" fillId="9"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8" fillId="6" borderId="0" applyNumberFormat="0" applyBorder="0" applyAlignment="0" applyProtection="0"/>
    <xf numFmtId="0" fontId="68" fillId="9"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2" borderId="1" applyNumberFormat="0" applyAlignment="0" applyProtection="0"/>
    <xf numFmtId="0" fontId="7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42" fillId="0" borderId="0" applyNumberFormat="0" applyFill="0" applyBorder="0" applyAlignment="0" applyProtection="0"/>
    <xf numFmtId="0" fontId="73" fillId="16" borderId="0" applyNumberFormat="0" applyBorder="0" applyAlignment="0" applyProtection="0"/>
    <xf numFmtId="0" fontId="3" fillId="0" borderId="3" applyNumberFormat="0" applyFill="0" applyAlignment="0" applyProtection="0"/>
    <xf numFmtId="0" fontId="74"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0" applyNumberFormat="0" applyFill="0" applyBorder="0" applyAlignment="0" applyProtection="0"/>
    <xf numFmtId="0" fontId="75" fillId="3" borderId="1" applyNumberFormat="0" applyAlignment="0" applyProtection="0"/>
    <xf numFmtId="0" fontId="76" fillId="0" borderId="6" applyNumberFormat="0" applyFill="0" applyAlignment="0" applyProtection="0"/>
    <xf numFmtId="0" fontId="77" fillId="4" borderId="0" applyNumberFormat="0" applyBorder="0" applyAlignment="0" applyProtection="0"/>
    <xf numFmtId="0" fontId="0" fillId="0" borderId="0">
      <alignment/>
      <protection/>
    </xf>
    <xf numFmtId="0" fontId="65" fillId="0" borderId="0">
      <alignment/>
      <protection/>
    </xf>
    <xf numFmtId="0" fontId="0" fillId="4" borderId="7" applyNumberFormat="0" applyFont="0" applyAlignment="0" applyProtection="0"/>
    <xf numFmtId="0" fontId="78"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16">
    <xf numFmtId="0" fontId="0" fillId="0" borderId="0" xfId="0" applyAlignment="1">
      <alignment/>
    </xf>
    <xf numFmtId="0" fontId="6" fillId="0" borderId="0" xfId="0" applyFont="1" applyAlignment="1" applyProtection="1">
      <alignment/>
      <protection/>
    </xf>
    <xf numFmtId="0" fontId="7" fillId="0" borderId="0" xfId="0" applyFont="1" applyAlignment="1" applyProtection="1">
      <alignment horizontal="left" vertical="center"/>
      <protection hidden="1"/>
    </xf>
    <xf numFmtId="0" fontId="6" fillId="0" borderId="0" xfId="0" applyFont="1" applyAlignment="1" applyProtection="1">
      <alignment horizontal="left"/>
      <protection hidden="1"/>
    </xf>
    <xf numFmtId="0" fontId="8" fillId="0" borderId="0" xfId="0" applyFont="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6" fillId="0" borderId="0" xfId="0" applyFont="1" applyAlignment="1" applyProtection="1">
      <alignment/>
      <protection hidden="1"/>
    </xf>
    <xf numFmtId="0" fontId="9" fillId="0" borderId="0" xfId="0" applyFont="1" applyAlignment="1" applyProtection="1">
      <alignment horizontal="left" vertical="center"/>
      <protection hidden="1"/>
    </xf>
    <xf numFmtId="0" fontId="6" fillId="0" borderId="0" xfId="0" applyFont="1" applyAlignment="1" applyProtection="1">
      <alignment/>
      <protection hidden="1"/>
    </xf>
    <xf numFmtId="0" fontId="6" fillId="0" borderId="0" xfId="0" applyFont="1" applyAlignment="1" applyProtection="1">
      <alignment/>
      <protection locked="0"/>
    </xf>
    <xf numFmtId="0" fontId="10" fillId="0" borderId="0" xfId="0" applyFont="1" applyAlignment="1" applyProtection="1">
      <alignment/>
      <protection hidden="1"/>
    </xf>
    <xf numFmtId="0" fontId="11" fillId="0" borderId="0" xfId="0" applyFont="1" applyAlignment="1" applyProtection="1">
      <alignment horizontal="centerContinuous"/>
      <protection hidden="1"/>
    </xf>
    <xf numFmtId="0" fontId="10" fillId="0" borderId="0" xfId="0" applyFont="1" applyAlignment="1" applyProtection="1">
      <alignment horizontal="centerContinuous"/>
      <protection hidden="1"/>
    </xf>
    <xf numFmtId="0" fontId="10" fillId="0" borderId="0" xfId="0" applyFont="1" applyBorder="1" applyAlignment="1" applyProtection="1">
      <alignment horizontal="centerContinuous"/>
      <protection hidden="1"/>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12" fillId="0" borderId="0" xfId="0" applyFont="1" applyAlignment="1" applyProtection="1">
      <alignment horizontal="left"/>
      <protection hidden="1"/>
    </xf>
    <xf numFmtId="0" fontId="6" fillId="0" borderId="0" xfId="0" applyFont="1" applyBorder="1" applyAlignment="1" applyProtection="1">
      <alignment/>
      <protection hidden="1"/>
    </xf>
    <xf numFmtId="0" fontId="6" fillId="0" borderId="0" xfId="0" applyFont="1" applyAlignment="1" applyProtection="1">
      <alignment horizontal="center"/>
      <protection locked="0"/>
    </xf>
    <xf numFmtId="0" fontId="13" fillId="0" borderId="0" xfId="0" applyFont="1" applyAlignment="1" applyProtection="1">
      <alignment horizontal="centerContinuous"/>
      <protection hidden="1"/>
    </xf>
    <xf numFmtId="0" fontId="6" fillId="0" borderId="0" xfId="0" applyFont="1" applyAlignment="1" applyProtection="1">
      <alignment horizontal="centerContinuous"/>
      <protection hidden="1"/>
    </xf>
    <xf numFmtId="0" fontId="6" fillId="0" borderId="0" xfId="0" applyFont="1" applyBorder="1" applyAlignment="1" applyProtection="1">
      <alignment horizontal="centerContinuous"/>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locked="0"/>
    </xf>
    <xf numFmtId="0" fontId="6" fillId="0" borderId="0" xfId="0" applyFont="1" applyFill="1" applyAlignment="1" applyProtection="1">
      <alignment horizontal="right"/>
      <protection locked="0"/>
    </xf>
    <xf numFmtId="181" fontId="6" fillId="14" borderId="0" xfId="0" applyNumberFormat="1" applyFont="1" applyFill="1" applyAlignment="1" applyProtection="1">
      <alignment/>
      <protection locked="0"/>
    </xf>
    <xf numFmtId="0" fontId="6" fillId="0" borderId="0" xfId="0" applyFont="1" applyAlignment="1" applyProtection="1">
      <alignment vertical="top"/>
      <protection hidden="1"/>
    </xf>
    <xf numFmtId="0" fontId="6" fillId="0" borderId="0" xfId="0" applyFont="1" applyAlignment="1" applyProtection="1">
      <alignment horizontal="center" vertical="top"/>
      <protection locked="0"/>
    </xf>
    <xf numFmtId="0" fontId="6" fillId="14" borderId="0" xfId="0" applyFont="1" applyFill="1" applyBorder="1" applyAlignment="1" applyProtection="1">
      <alignment/>
      <protection locked="0"/>
    </xf>
    <xf numFmtId="0" fontId="6" fillId="17" borderId="0" xfId="0" applyFont="1" applyFill="1" applyBorder="1" applyAlignment="1" applyProtection="1">
      <alignment/>
      <protection locked="0"/>
    </xf>
    <xf numFmtId="0" fontId="6" fillId="18" borderId="0" xfId="0" applyFont="1" applyFill="1" applyAlignment="1" applyProtection="1">
      <alignment/>
      <protection locked="0"/>
    </xf>
    <xf numFmtId="0" fontId="16" fillId="0" borderId="0" xfId="0" applyFont="1" applyFill="1" applyAlignment="1" applyProtection="1">
      <alignment horizontal="right"/>
      <protection locked="0"/>
    </xf>
    <xf numFmtId="49" fontId="6" fillId="14" borderId="0" xfId="0" applyNumberFormat="1" applyFont="1" applyFill="1" applyBorder="1" applyAlignment="1" applyProtection="1">
      <alignment/>
      <protection locked="0"/>
    </xf>
    <xf numFmtId="0" fontId="6" fillId="0" borderId="0" xfId="0" applyFont="1" applyFill="1" applyAlignment="1" applyProtection="1">
      <alignment/>
      <protection locked="0"/>
    </xf>
    <xf numFmtId="15" fontId="18" fillId="0" borderId="0" xfId="0" applyNumberFormat="1" applyFont="1" applyAlignment="1" applyProtection="1">
      <alignment/>
      <protection locked="0"/>
    </xf>
    <xf numFmtId="0" fontId="16" fillId="0" borderId="0" xfId="0" applyFont="1" applyAlignment="1" applyProtection="1">
      <alignment horizontal="right"/>
      <protection locked="0"/>
    </xf>
    <xf numFmtId="6" fontId="6" fillId="19" borderId="0" xfId="0" applyNumberFormat="1" applyFont="1" applyFill="1" applyAlignment="1" applyProtection="1">
      <alignment vertical="top"/>
      <protection locked="0"/>
    </xf>
    <xf numFmtId="0" fontId="6" fillId="0" borderId="0" xfId="0" applyFont="1" applyFill="1" applyBorder="1" applyAlignment="1" applyProtection="1">
      <alignment horizontal="left"/>
      <protection hidden="1"/>
    </xf>
    <xf numFmtId="5" fontId="6" fillId="19" borderId="0" xfId="0" applyNumberFormat="1" applyFont="1" applyFill="1" applyAlignment="1" applyProtection="1">
      <alignment vertical="top"/>
      <protection locked="0"/>
    </xf>
    <xf numFmtId="0" fontId="6" fillId="0" borderId="0" xfId="0" applyFont="1" applyFill="1" applyBorder="1" applyAlignment="1" applyProtection="1">
      <alignment/>
      <protection hidden="1"/>
    </xf>
    <xf numFmtId="0" fontId="6" fillId="0" borderId="0" xfId="0" applyFont="1" applyAlignment="1" applyProtection="1">
      <alignment vertical="center"/>
      <protection locked="0"/>
    </xf>
    <xf numFmtId="6" fontId="6" fillId="19" borderId="0" xfId="0" applyNumberFormat="1" applyFont="1" applyFill="1" applyAlignment="1" applyProtection="1">
      <alignment vertical="center"/>
      <protection locked="0"/>
    </xf>
    <xf numFmtId="0" fontId="20" fillId="0" borderId="0" xfId="0" applyFont="1" applyBorder="1" applyAlignment="1" applyProtection="1">
      <alignment wrapText="1"/>
      <protection hidden="1"/>
    </xf>
    <xf numFmtId="0" fontId="21" fillId="0" borderId="0" xfId="0" applyFont="1" applyBorder="1" applyAlignment="1" applyProtection="1">
      <alignment wrapText="1"/>
      <protection hidden="1"/>
    </xf>
    <xf numFmtId="180" fontId="21" fillId="0" borderId="0" xfId="0" applyNumberFormat="1" applyFont="1" applyBorder="1" applyAlignment="1" applyProtection="1">
      <alignment wrapText="1"/>
      <protection hidden="1"/>
    </xf>
    <xf numFmtId="0" fontId="6" fillId="0" borderId="0" xfId="0" applyFont="1" applyAlignment="1" applyProtection="1">
      <alignment horizontal="right"/>
      <protection hidden="1"/>
    </xf>
    <xf numFmtId="0" fontId="22" fillId="0" borderId="0" xfId="0" applyFont="1" applyBorder="1" applyAlignment="1" applyProtection="1">
      <alignment vertical="top"/>
      <protection hidden="1"/>
    </xf>
    <xf numFmtId="0" fontId="19" fillId="0" borderId="0" xfId="0" applyFont="1" applyAlignment="1" applyProtection="1">
      <alignment vertical="top"/>
      <protection hidden="1"/>
    </xf>
    <xf numFmtId="0" fontId="13" fillId="0" borderId="0" xfId="0" applyFont="1" applyFill="1" applyBorder="1" applyAlignment="1" applyProtection="1">
      <alignment horizontal="left"/>
      <protection hidden="1"/>
    </xf>
    <xf numFmtId="0" fontId="6" fillId="0" borderId="0" xfId="0" applyFont="1" applyFill="1" applyAlignment="1" applyProtection="1">
      <alignment vertical="top"/>
      <protection locked="0"/>
    </xf>
    <xf numFmtId="6" fontId="6" fillId="0" borderId="0" xfId="0" applyNumberFormat="1" applyFont="1" applyFill="1" applyAlignment="1" applyProtection="1">
      <alignment vertical="top"/>
      <protection locked="0"/>
    </xf>
    <xf numFmtId="0" fontId="25" fillId="0" borderId="0" xfId="0" applyFont="1" applyAlignment="1" applyProtection="1">
      <alignment/>
      <protection hidden="1"/>
    </xf>
    <xf numFmtId="0" fontId="13" fillId="0" borderId="0" xfId="0" applyFont="1" applyAlignment="1" applyProtection="1">
      <alignment/>
      <protection hidden="1"/>
    </xf>
    <xf numFmtId="0" fontId="13" fillId="0" borderId="0" xfId="0" applyFont="1" applyAlignment="1" applyProtection="1">
      <alignment vertical="center" wrapText="1"/>
      <protection hidden="1"/>
    </xf>
    <xf numFmtId="0" fontId="6" fillId="0" borderId="0" xfId="0" applyFont="1" applyAlignment="1" applyProtection="1">
      <alignment vertical="center" wrapText="1"/>
      <protection hidden="1"/>
    </xf>
    <xf numFmtId="6" fontId="6" fillId="0" borderId="0" xfId="0" applyNumberFormat="1" applyFont="1" applyAlignment="1" applyProtection="1">
      <alignment/>
      <protection locked="0"/>
    </xf>
    <xf numFmtId="0" fontId="13" fillId="0" borderId="0" xfId="0" applyFont="1" applyAlignment="1" applyProtection="1">
      <alignment/>
      <protection hidden="1"/>
    </xf>
    <xf numFmtId="6" fontId="8" fillId="0" borderId="0" xfId="0" applyNumberFormat="1" applyFont="1" applyBorder="1" applyAlignment="1" applyProtection="1">
      <alignment wrapText="1"/>
      <protection hidden="1"/>
    </xf>
    <xf numFmtId="0" fontId="8" fillId="0" borderId="0" xfId="0" applyFont="1" applyBorder="1" applyAlignment="1" applyProtection="1">
      <alignment vertical="center"/>
      <protection hidden="1"/>
    </xf>
    <xf numFmtId="6" fontId="6" fillId="0" borderId="0" xfId="0" applyNumberFormat="1" applyFont="1" applyAlignment="1" applyProtection="1">
      <alignment vertical="top"/>
      <protection locked="0"/>
    </xf>
    <xf numFmtId="6" fontId="19" fillId="0" borderId="0" xfId="0" applyNumberFormat="1" applyFont="1" applyAlignment="1" applyProtection="1">
      <alignment/>
      <protection locked="0"/>
    </xf>
    <xf numFmtId="0" fontId="6" fillId="0" borderId="0" xfId="0" applyFont="1" applyAlignment="1" applyProtection="1">
      <alignment vertical="top"/>
      <protection locked="0"/>
    </xf>
    <xf numFmtId="6" fontId="27" fillId="0" borderId="0" xfId="0" applyNumberFormat="1" applyFont="1" applyBorder="1" applyAlignment="1" applyProtection="1">
      <alignment wrapText="1"/>
      <protection hidden="1"/>
    </xf>
    <xf numFmtId="0" fontId="26" fillId="0" borderId="0" xfId="0" applyFont="1" applyBorder="1" applyAlignment="1" applyProtection="1">
      <alignment vertical="top" wrapText="1"/>
      <protection hidden="1"/>
    </xf>
    <xf numFmtId="0" fontId="24" fillId="0" borderId="0" xfId="0" applyFont="1" applyBorder="1" applyAlignment="1" applyProtection="1">
      <alignment vertical="top" wrapText="1"/>
      <protection hidden="1"/>
    </xf>
    <xf numFmtId="0" fontId="15" fillId="0" borderId="0" xfId="53" applyFont="1" applyAlignment="1" applyProtection="1">
      <alignment/>
      <protection/>
    </xf>
    <xf numFmtId="0" fontId="29" fillId="0" borderId="0" xfId="0" applyFont="1" applyAlignment="1">
      <alignment horizontal="center"/>
    </xf>
    <xf numFmtId="0" fontId="10"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6" fillId="0" borderId="0" xfId="0" applyFont="1" applyAlignment="1" applyProtection="1" quotePrefix="1">
      <alignment/>
      <protection/>
    </xf>
    <xf numFmtId="0" fontId="31" fillId="0" borderId="0" xfId="0" applyFont="1" applyAlignment="1" applyProtection="1">
      <alignment vertical="center"/>
      <protection locked="0"/>
    </xf>
    <xf numFmtId="0" fontId="18"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3" fillId="0" borderId="0" xfId="0" applyFont="1" applyBorder="1" applyAlignment="1" applyProtection="1">
      <alignment horizontal="left" vertical="top" wrapText="1"/>
      <protection/>
    </xf>
    <xf numFmtId="0" fontId="6" fillId="0" borderId="0" xfId="0" applyFont="1" applyAlignment="1" applyProtection="1">
      <alignment wrapText="1"/>
      <protection/>
    </xf>
    <xf numFmtId="0" fontId="32" fillId="0" borderId="12" xfId="0" applyFont="1" applyBorder="1" applyAlignment="1" applyProtection="1">
      <alignment horizontal="center" vertical="center" wrapText="1"/>
      <protection locked="0"/>
    </xf>
    <xf numFmtId="0" fontId="32" fillId="0" borderId="13" xfId="0" applyFont="1" applyBorder="1" applyAlignment="1" applyProtection="1">
      <alignment vertical="center" wrapText="1"/>
      <protection locked="0"/>
    </xf>
    <xf numFmtId="0" fontId="33" fillId="0" borderId="13" xfId="0" applyFont="1" applyBorder="1" applyAlignment="1" applyProtection="1">
      <alignment vertical="center" wrapText="1"/>
      <protection locked="0"/>
    </xf>
    <xf numFmtId="0" fontId="33" fillId="0" borderId="14" xfId="0" applyFont="1" applyBorder="1" applyAlignment="1" applyProtection="1">
      <alignment vertical="center" wrapText="1"/>
      <protection locked="0"/>
    </xf>
    <xf numFmtId="0" fontId="34" fillId="0" borderId="12" xfId="0" applyFont="1" applyBorder="1" applyAlignment="1" applyProtection="1">
      <alignment vertical="center"/>
      <protection locked="0"/>
    </xf>
    <xf numFmtId="0" fontId="34" fillId="0" borderId="13" xfId="0" applyFont="1" applyBorder="1" applyAlignment="1" applyProtection="1">
      <alignment vertical="center" wrapText="1"/>
      <protection locked="0"/>
    </xf>
    <xf numFmtId="0" fontId="34" fillId="0" borderId="13" xfId="0" applyFont="1" applyBorder="1" applyAlignment="1" applyProtection="1">
      <alignment vertical="center"/>
      <protection locked="0"/>
    </xf>
    <xf numFmtId="0" fontId="34" fillId="0" borderId="13" xfId="0" applyFont="1" applyBorder="1" applyAlignment="1" applyProtection="1">
      <alignment horizontal="left" vertical="center" wrapText="1"/>
      <protection locked="0"/>
    </xf>
    <xf numFmtId="0" fontId="6" fillId="0" borderId="15" xfId="0" applyFont="1" applyBorder="1" applyAlignment="1" applyProtection="1">
      <alignment vertical="center"/>
      <protection locked="0"/>
    </xf>
    <xf numFmtId="0" fontId="6" fillId="0" borderId="0" xfId="0" applyFont="1" applyAlignment="1" applyProtection="1">
      <alignment vertical="center" wrapText="1"/>
      <protection locked="0"/>
    </xf>
    <xf numFmtId="0" fontId="30" fillId="0" borderId="15" xfId="0" applyFont="1" applyBorder="1" applyAlignment="1" applyProtection="1">
      <alignment vertical="center"/>
      <protection locked="0"/>
    </xf>
    <xf numFmtId="0" fontId="13" fillId="0" borderId="0" xfId="0" applyFont="1" applyAlignment="1">
      <alignment horizontal="left"/>
    </xf>
    <xf numFmtId="0" fontId="6" fillId="19" borderId="13" xfId="0" applyFont="1" applyFill="1" applyBorder="1" applyAlignment="1" applyProtection="1">
      <alignment/>
      <protection locked="0"/>
    </xf>
    <xf numFmtId="0" fontId="6" fillId="0" borderId="14" xfId="0" applyFont="1" applyBorder="1" applyAlignment="1" applyProtection="1">
      <alignment/>
      <protection locked="0"/>
    </xf>
    <xf numFmtId="0" fontId="19" fillId="3" borderId="15" xfId="0" applyFont="1" applyFill="1" applyBorder="1" applyAlignment="1" applyProtection="1">
      <alignment/>
      <protection locked="0"/>
    </xf>
    <xf numFmtId="0" fontId="6" fillId="3" borderId="12" xfId="0" applyFont="1" applyFill="1" applyBorder="1" applyAlignment="1" applyProtection="1">
      <alignment/>
      <protection locked="0"/>
    </xf>
    <xf numFmtId="0" fontId="6" fillId="3" borderId="13" xfId="0" applyFont="1" applyFill="1" applyBorder="1" applyAlignment="1" applyProtection="1">
      <alignment/>
      <protection locked="0"/>
    </xf>
    <xf numFmtId="49" fontId="6" fillId="3" borderId="13" xfId="0" applyNumberFormat="1" applyFont="1" applyFill="1" applyBorder="1" applyAlignment="1" applyProtection="1">
      <alignment/>
      <protection locked="0"/>
    </xf>
    <xf numFmtId="0" fontId="6" fillId="0" borderId="0" xfId="0" applyNumberFormat="1" applyFont="1" applyAlignment="1" applyProtection="1">
      <alignment vertical="center"/>
      <protection locked="0"/>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9" fillId="19" borderId="18" xfId="0" applyFont="1" applyFill="1" applyBorder="1" applyAlignment="1" applyProtection="1">
      <alignment vertical="center"/>
      <protection locked="0"/>
    </xf>
    <xf numFmtId="0" fontId="6" fillId="0" borderId="0" xfId="0" applyFont="1" applyBorder="1" applyAlignment="1" applyProtection="1">
      <alignment/>
      <protection/>
    </xf>
    <xf numFmtId="0" fontId="36" fillId="0" borderId="0" xfId="0" applyFont="1" applyBorder="1" applyAlignment="1" applyProtection="1">
      <alignment vertical="top"/>
      <protection/>
    </xf>
    <xf numFmtId="0" fontId="35" fillId="0" borderId="0" xfId="0" applyFont="1" applyBorder="1" applyAlignment="1" applyProtection="1">
      <alignment vertical="top"/>
      <protection/>
    </xf>
    <xf numFmtId="0" fontId="6" fillId="19" borderId="0" xfId="0" applyFont="1" applyFill="1" applyBorder="1" applyAlignment="1" applyProtection="1">
      <alignment/>
      <protection locked="0"/>
    </xf>
    <xf numFmtId="0" fontId="6" fillId="0" borderId="17" xfId="0" applyFont="1" applyBorder="1" applyAlignment="1" applyProtection="1">
      <alignment/>
      <protection locked="0"/>
    </xf>
    <xf numFmtId="0" fontId="19" fillId="3" borderId="19" xfId="0" applyFont="1" applyFill="1" applyBorder="1" applyAlignment="1" applyProtection="1">
      <alignment/>
      <protection locked="0"/>
    </xf>
    <xf numFmtId="0" fontId="6" fillId="3" borderId="16" xfId="0" applyFont="1" applyFill="1" applyBorder="1" applyAlignment="1" applyProtection="1">
      <alignment/>
      <protection locked="0"/>
    </xf>
    <xf numFmtId="0" fontId="6" fillId="3" borderId="0" xfId="0" applyFont="1" applyFill="1" applyBorder="1" applyAlignment="1" applyProtection="1">
      <alignment/>
      <protection locked="0"/>
    </xf>
    <xf numFmtId="49" fontId="6" fillId="3" borderId="0" xfId="0" applyNumberFormat="1" applyFont="1" applyFill="1" applyBorder="1" applyAlignment="1" applyProtection="1">
      <alignment/>
      <protection locked="0"/>
    </xf>
    <xf numFmtId="182" fontId="6" fillId="0" borderId="19" xfId="0" applyNumberFormat="1" applyFont="1" applyBorder="1" applyAlignment="1" applyProtection="1">
      <alignment vertical="center"/>
      <protection locked="0"/>
    </xf>
    <xf numFmtId="0" fontId="6" fillId="19" borderId="0" xfId="0" applyFont="1" applyFill="1" applyBorder="1" applyAlignment="1" applyProtection="1">
      <alignment vertical="center"/>
      <protection locked="0"/>
    </xf>
    <xf numFmtId="0" fontId="19" fillId="3" borderId="19" xfId="0" applyFont="1" applyFill="1" applyBorder="1" applyAlignment="1" applyProtection="1">
      <alignment vertical="center"/>
      <protection locked="0"/>
    </xf>
    <xf numFmtId="0" fontId="6" fillId="3" borderId="16"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49" fontId="6" fillId="3" borderId="0" xfId="0" applyNumberFormat="1" applyFont="1" applyFill="1" applyBorder="1" applyAlignment="1" applyProtection="1">
      <alignment vertical="center"/>
      <protection locked="0"/>
    </xf>
    <xf numFmtId="0" fontId="6" fillId="0" borderId="0" xfId="0" applyFont="1" applyAlignment="1" applyProtection="1">
      <alignment vertical="center"/>
      <protection/>
    </xf>
    <xf numFmtId="0" fontId="18" fillId="0" borderId="0" xfId="0" applyFont="1" applyAlignment="1" applyProtection="1">
      <alignment horizontal="center" vertical="center"/>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184" fontId="6" fillId="0" borderId="0" xfId="0" applyNumberFormat="1" applyFont="1" applyAlignment="1" applyProtection="1">
      <alignment vertical="center"/>
      <protection locked="0"/>
    </xf>
    <xf numFmtId="0" fontId="6" fillId="0" borderId="0" xfId="0" applyFont="1" applyBorder="1" applyAlignment="1" applyProtection="1">
      <alignment vertical="center"/>
      <protection hidden="1"/>
    </xf>
    <xf numFmtId="0" fontId="6" fillId="0" borderId="0" xfId="0" applyFont="1" applyBorder="1" applyAlignment="1" applyProtection="1">
      <alignment vertical="center"/>
      <protection/>
    </xf>
    <xf numFmtId="0" fontId="14" fillId="0" borderId="0" xfId="0" applyFont="1" applyBorder="1" applyAlignment="1" applyProtection="1">
      <alignment vertical="center"/>
      <protection hidden="1"/>
    </xf>
    <xf numFmtId="0" fontId="6" fillId="19" borderId="20" xfId="0" applyFont="1" applyFill="1" applyBorder="1" applyAlignment="1" applyProtection="1">
      <alignment/>
      <protection locked="0"/>
    </xf>
    <xf numFmtId="0" fontId="6" fillId="0" borderId="21" xfId="0" applyFont="1" applyBorder="1" applyAlignment="1" applyProtection="1">
      <alignment/>
      <protection locked="0"/>
    </xf>
    <xf numFmtId="0" fontId="19" fillId="16" borderId="18" xfId="0" applyFont="1" applyFill="1" applyBorder="1" applyAlignment="1" applyProtection="1">
      <alignment/>
      <protection locked="0"/>
    </xf>
    <xf numFmtId="0" fontId="40" fillId="16" borderId="22" xfId="0" applyFont="1" applyFill="1" applyBorder="1" applyAlignment="1" applyProtection="1">
      <alignment/>
      <protection locked="0"/>
    </xf>
    <xf numFmtId="0" fontId="18" fillId="16" borderId="20" xfId="0" applyFont="1" applyFill="1" applyBorder="1" applyAlignment="1" applyProtection="1">
      <alignment/>
      <protection locked="0"/>
    </xf>
    <xf numFmtId="0" fontId="40" fillId="16" borderId="20" xfId="0" applyFont="1" applyFill="1" applyBorder="1" applyAlignment="1" applyProtection="1">
      <alignment/>
      <protection locked="0"/>
    </xf>
    <xf numFmtId="182" fontId="6" fillId="0" borderId="18" xfId="0" applyNumberFormat="1"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16" borderId="0" xfId="0" applyFont="1" applyFill="1" applyAlignment="1" applyProtection="1">
      <alignment vertical="center"/>
      <protection locked="0"/>
    </xf>
    <xf numFmtId="0" fontId="6" fillId="0" borderId="0" xfId="0" applyFont="1" applyFill="1" applyBorder="1" applyAlignment="1" applyProtection="1">
      <alignment vertical="center"/>
      <protection hidden="1"/>
    </xf>
    <xf numFmtId="6" fontId="6" fillId="0" borderId="0" xfId="0" applyNumberFormat="1" applyFont="1" applyAlignment="1" applyProtection="1">
      <alignment horizontal="right"/>
      <protection hidden="1"/>
    </xf>
    <xf numFmtId="0" fontId="13" fillId="0" borderId="0" xfId="0" applyFont="1" applyAlignment="1" applyProtection="1">
      <alignment horizontal="left"/>
      <protection hidden="1"/>
    </xf>
    <xf numFmtId="0" fontId="13" fillId="0" borderId="0" xfId="0" applyFont="1" applyAlignment="1" applyProtection="1">
      <alignment wrapText="1"/>
      <protection hidden="1"/>
    </xf>
    <xf numFmtId="0" fontId="20" fillId="0" borderId="0" xfId="0" applyFont="1" applyFill="1" applyBorder="1" applyAlignment="1" applyProtection="1">
      <alignment wrapText="1"/>
      <protection hidden="1"/>
    </xf>
    <xf numFmtId="0" fontId="20" fillId="0" borderId="0" xfId="0" applyFont="1" applyFill="1" applyBorder="1" applyAlignment="1" applyProtection="1">
      <alignment horizontal="right" wrapText="1"/>
      <protection hidden="1"/>
    </xf>
    <xf numFmtId="0" fontId="6" fillId="0" borderId="0" xfId="0" applyFont="1" applyAlignment="1" applyProtection="1">
      <alignment/>
      <protection hidden="1" locked="0"/>
    </xf>
    <xf numFmtId="0" fontId="40" fillId="16" borderId="20" xfId="0" applyNumberFormat="1" applyFont="1" applyFill="1" applyBorder="1" applyAlignment="1" applyProtection="1">
      <alignment/>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right"/>
      <protection locked="0"/>
    </xf>
    <xf numFmtId="0" fontId="0" fillId="0" borderId="0" xfId="0" applyAlignment="1">
      <alignment vertical="center" wrapText="1"/>
    </xf>
    <xf numFmtId="0" fontId="44" fillId="0" borderId="0" xfId="0" applyFont="1" applyAlignment="1" applyProtection="1">
      <alignment horizontal="centerContinuous"/>
      <protection hidden="1"/>
    </xf>
    <xf numFmtId="0" fontId="8" fillId="0" borderId="0" xfId="0" applyFont="1" applyBorder="1" applyAlignment="1" applyProtection="1">
      <alignment/>
      <protection hidden="1"/>
    </xf>
    <xf numFmtId="0" fontId="8" fillId="0" borderId="0" xfId="0" applyFont="1" applyBorder="1" applyAlignment="1" applyProtection="1">
      <alignment wrapText="1"/>
      <protection hidden="1"/>
    </xf>
    <xf numFmtId="6" fontId="8" fillId="0" borderId="0" xfId="0" applyNumberFormat="1" applyFont="1" applyBorder="1" applyAlignment="1" applyProtection="1">
      <alignment/>
      <protection hidden="1"/>
    </xf>
    <xf numFmtId="0" fontId="19" fillId="0" borderId="0" xfId="0" applyFont="1" applyBorder="1" applyAlignment="1" applyProtection="1">
      <alignment vertical="top"/>
      <protection hidden="1"/>
    </xf>
    <xf numFmtId="0" fontId="19" fillId="0" borderId="0" xfId="0" applyFont="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0" fontId="23" fillId="0" borderId="0" xfId="0" applyFont="1" applyBorder="1" applyAlignment="1" applyProtection="1">
      <alignment/>
      <protection hidden="1"/>
    </xf>
    <xf numFmtId="0" fontId="8" fillId="0" borderId="0" xfId="0" applyFont="1" applyBorder="1" applyAlignment="1" applyProtection="1">
      <alignment horizontal="left"/>
      <protection hidden="1"/>
    </xf>
    <xf numFmtId="0" fontId="8" fillId="0" borderId="0" xfId="0" applyFont="1" applyBorder="1" applyAlignment="1" applyProtection="1">
      <alignment horizontal="left"/>
      <protection/>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horizontal="left" vertical="center"/>
      <protection hidden="1"/>
    </xf>
    <xf numFmtId="6" fontId="21" fillId="0" borderId="0" xfId="0" applyNumberFormat="1" applyFont="1" applyBorder="1" applyAlignment="1" applyProtection="1">
      <alignment wrapText="1"/>
      <protection hidden="1"/>
    </xf>
    <xf numFmtId="6" fontId="6" fillId="0" borderId="0" xfId="0" applyNumberFormat="1" applyFont="1" applyBorder="1" applyAlignment="1" applyProtection="1">
      <alignment/>
      <protection hidden="1"/>
    </xf>
    <xf numFmtId="0" fontId="6" fillId="0" borderId="0" xfId="0" applyFont="1" applyBorder="1" applyAlignment="1">
      <alignment/>
    </xf>
    <xf numFmtId="6" fontId="48" fillId="0" borderId="0" xfId="0" applyNumberFormat="1" applyFont="1" applyBorder="1" applyAlignment="1" applyProtection="1">
      <alignment horizontal="left" indent="1"/>
      <protection hidden="1"/>
    </xf>
    <xf numFmtId="0" fontId="48" fillId="0" borderId="0" xfId="0" applyFont="1" applyBorder="1" applyAlignment="1" applyProtection="1">
      <alignment wrapText="1"/>
      <protection hidden="1"/>
    </xf>
    <xf numFmtId="0" fontId="46" fillId="0" borderId="0" xfId="0" applyFont="1" applyBorder="1" applyAlignment="1" applyProtection="1">
      <alignment/>
      <protection hidden="1"/>
    </xf>
    <xf numFmtId="6" fontId="48" fillId="0" borderId="0" xfId="0" applyNumberFormat="1" applyFont="1" applyBorder="1" applyAlignment="1" applyProtection="1">
      <alignment wrapText="1"/>
      <protection hidden="1"/>
    </xf>
    <xf numFmtId="5" fontId="48" fillId="0" borderId="0" xfId="0" applyNumberFormat="1" applyFont="1" applyBorder="1" applyAlignment="1" applyProtection="1">
      <alignment wrapText="1"/>
      <protection hidden="1"/>
    </xf>
    <xf numFmtId="5" fontId="48" fillId="0" borderId="0" xfId="0" applyNumberFormat="1" applyFont="1" applyBorder="1" applyAlignment="1" applyProtection="1">
      <alignment horizontal="left"/>
      <protection hidden="1"/>
    </xf>
    <xf numFmtId="5" fontId="48" fillId="0" borderId="0" xfId="0" applyNumberFormat="1" applyFont="1" applyBorder="1" applyAlignment="1" applyProtection="1">
      <alignment horizontal="left" indent="1"/>
      <protection hidden="1"/>
    </xf>
    <xf numFmtId="0" fontId="48" fillId="0" borderId="0" xfId="0" applyFont="1" applyBorder="1" applyAlignment="1" applyProtection="1">
      <alignment horizontal="left"/>
      <protection hidden="1"/>
    </xf>
    <xf numFmtId="0" fontId="49" fillId="0" borderId="0" xfId="0" applyFont="1" applyBorder="1" applyAlignment="1" applyProtection="1">
      <alignment wrapText="1"/>
      <protection hidden="1"/>
    </xf>
    <xf numFmtId="180" fontId="48" fillId="0" borderId="0" xfId="0" applyNumberFormat="1" applyFont="1" applyBorder="1" applyAlignment="1" applyProtection="1">
      <alignment wrapText="1"/>
      <protection hidden="1"/>
    </xf>
    <xf numFmtId="0" fontId="50" fillId="0" borderId="0" xfId="0" applyFont="1" applyBorder="1" applyAlignment="1" applyProtection="1">
      <alignment wrapText="1"/>
      <protection hidden="1"/>
    </xf>
    <xf numFmtId="6" fontId="50" fillId="0" borderId="0" xfId="0" applyNumberFormat="1" applyFont="1" applyBorder="1" applyAlignment="1" applyProtection="1">
      <alignment wrapText="1"/>
      <protection hidden="1"/>
    </xf>
    <xf numFmtId="0" fontId="46" fillId="0" borderId="0" xfId="0" applyFont="1" applyBorder="1" applyAlignment="1" applyProtection="1">
      <alignment vertical="center" wrapText="1"/>
      <protection hidden="1"/>
    </xf>
    <xf numFmtId="0" fontId="50" fillId="0" borderId="23" xfId="0" applyFont="1" applyBorder="1" applyAlignment="1" applyProtection="1">
      <alignment wrapText="1"/>
      <protection hidden="1"/>
    </xf>
    <xf numFmtId="6" fontId="51" fillId="0" borderId="23" xfId="0" applyNumberFormat="1" applyFont="1" applyBorder="1" applyAlignment="1" applyProtection="1">
      <alignment wrapText="1"/>
      <protection hidden="1"/>
    </xf>
    <xf numFmtId="180" fontId="48" fillId="0" borderId="23" xfId="0" applyNumberFormat="1" applyFont="1" applyBorder="1" applyAlignment="1" applyProtection="1">
      <alignment wrapText="1"/>
      <protection hidden="1"/>
    </xf>
    <xf numFmtId="6" fontId="50" fillId="0" borderId="23" xfId="0" applyNumberFormat="1" applyFont="1" applyBorder="1" applyAlignment="1" applyProtection="1">
      <alignment/>
      <protection hidden="1"/>
    </xf>
    <xf numFmtId="0" fontId="49" fillId="0" borderId="0" xfId="0" applyFont="1" applyBorder="1" applyAlignment="1" applyProtection="1">
      <alignment horizontal="right" wrapText="1"/>
      <protection hidden="1"/>
    </xf>
    <xf numFmtId="180" fontId="48" fillId="0" borderId="23" xfId="0" applyNumberFormat="1" applyFont="1" applyBorder="1" applyAlignment="1" applyProtection="1">
      <alignment horizontal="right" wrapText="1"/>
      <protection hidden="1"/>
    </xf>
    <xf numFmtId="0" fontId="48" fillId="0" borderId="0" xfId="0" applyFont="1" applyBorder="1" applyAlignment="1" applyProtection="1">
      <alignment horizontal="right"/>
      <protection hidden="1"/>
    </xf>
    <xf numFmtId="0" fontId="22" fillId="0" borderId="0" xfId="0" applyFont="1" applyAlignment="1" applyProtection="1">
      <alignment horizontal="right"/>
      <protection hidden="1"/>
    </xf>
    <xf numFmtId="0" fontId="6" fillId="0" borderId="24" xfId="0" applyFont="1" applyBorder="1" applyAlignment="1" applyProtection="1">
      <alignment/>
      <protection hidden="1"/>
    </xf>
    <xf numFmtId="0" fontId="6" fillId="0" borderId="25" xfId="0" applyFont="1" applyFill="1" applyBorder="1" applyAlignment="1" applyProtection="1">
      <alignment/>
      <protection hidden="1"/>
    </xf>
    <xf numFmtId="0" fontId="28" fillId="0" borderId="25" xfId="0" applyFont="1" applyFill="1" applyBorder="1" applyAlignment="1" applyProtection="1">
      <alignment/>
      <protection hidden="1"/>
    </xf>
    <xf numFmtId="0" fontId="8" fillId="0" borderId="25" xfId="0" applyFont="1" applyBorder="1" applyAlignment="1" applyProtection="1">
      <alignment wrapText="1"/>
      <protection hidden="1"/>
    </xf>
    <xf numFmtId="0" fontId="6" fillId="0" borderId="25" xfId="0" applyFont="1" applyBorder="1" applyAlignment="1" applyProtection="1">
      <alignment/>
      <protection hidden="1"/>
    </xf>
    <xf numFmtId="0" fontId="6" fillId="0" borderId="26" xfId="0" applyFont="1" applyBorder="1" applyAlignment="1" applyProtection="1">
      <alignment/>
      <protection hidden="1"/>
    </xf>
    <xf numFmtId="0" fontId="22" fillId="0" borderId="27" xfId="0" applyFont="1" applyBorder="1" applyAlignment="1" applyProtection="1">
      <alignment vertical="top"/>
      <protection hidden="1"/>
    </xf>
    <xf numFmtId="0" fontId="19" fillId="0" borderId="27" xfId="0" applyFont="1" applyBorder="1" applyAlignment="1" applyProtection="1">
      <alignment vertical="top"/>
      <protection hidden="1"/>
    </xf>
    <xf numFmtId="0" fontId="6" fillId="0" borderId="27" xfId="0" applyFont="1" applyFill="1" applyBorder="1" applyAlignment="1" applyProtection="1">
      <alignment horizontal="left"/>
      <protection/>
    </xf>
    <xf numFmtId="0" fontId="13" fillId="0" borderId="27" xfId="0" applyFont="1" applyBorder="1" applyAlignment="1" applyProtection="1">
      <alignment horizontal="center" vertical="center"/>
      <protection hidden="1"/>
    </xf>
    <xf numFmtId="0" fontId="6" fillId="0" borderId="27" xfId="0" applyFont="1" applyBorder="1" applyAlignment="1" applyProtection="1">
      <alignment/>
      <protection hidden="1"/>
    </xf>
    <xf numFmtId="0" fontId="6" fillId="0" borderId="28" xfId="0" applyFont="1" applyBorder="1" applyAlignment="1" applyProtection="1">
      <alignment/>
      <protection hidden="1"/>
    </xf>
    <xf numFmtId="0" fontId="13" fillId="0" borderId="25" xfId="0" applyFont="1" applyFill="1" applyBorder="1" applyAlignment="1" applyProtection="1">
      <alignment horizontal="left"/>
      <protection hidden="1"/>
    </xf>
    <xf numFmtId="0" fontId="17" fillId="0" borderId="25" xfId="0" applyFont="1" applyBorder="1" applyAlignment="1" applyProtection="1">
      <alignment vertical="top" wrapText="1"/>
      <protection hidden="1"/>
    </xf>
    <xf numFmtId="0" fontId="17" fillId="0" borderId="27" xfId="0" applyFont="1" applyBorder="1" applyAlignment="1" applyProtection="1">
      <alignment vertical="top" wrapText="1"/>
      <protection hidden="1"/>
    </xf>
    <xf numFmtId="0" fontId="17" fillId="0" borderId="28" xfId="0" applyFont="1" applyBorder="1" applyAlignment="1" applyProtection="1">
      <alignment vertical="top" wrapText="1"/>
      <protection hidden="1"/>
    </xf>
    <xf numFmtId="0" fontId="13" fillId="0" borderId="25" xfId="0" applyFont="1" applyBorder="1" applyAlignment="1" applyProtection="1">
      <alignment vertical="center" wrapText="1"/>
      <protection hidden="1"/>
    </xf>
    <xf numFmtId="6" fontId="21" fillId="0" borderId="25" xfId="0" applyNumberFormat="1" applyFont="1" applyBorder="1" applyAlignment="1" applyProtection="1">
      <alignment wrapText="1"/>
      <protection hidden="1"/>
    </xf>
    <xf numFmtId="0" fontId="21" fillId="0" borderId="25" xfId="0" applyFont="1" applyBorder="1" applyAlignment="1" applyProtection="1">
      <alignment wrapText="1"/>
      <protection hidden="1"/>
    </xf>
    <xf numFmtId="0" fontId="20" fillId="0" borderId="25" xfId="0" applyFont="1" applyBorder="1" applyAlignment="1" applyProtection="1">
      <alignment wrapText="1"/>
      <protection hidden="1"/>
    </xf>
    <xf numFmtId="6" fontId="6" fillId="0" borderId="25" xfId="0" applyNumberFormat="1" applyFont="1" applyBorder="1" applyAlignment="1" applyProtection="1">
      <alignment/>
      <protection hidden="1"/>
    </xf>
    <xf numFmtId="6" fontId="8" fillId="0" borderId="25" xfId="0" applyNumberFormat="1" applyFont="1" applyBorder="1" applyAlignment="1" applyProtection="1">
      <alignment wrapText="1"/>
      <protection hidden="1"/>
    </xf>
    <xf numFmtId="0" fontId="6" fillId="0" borderId="24" xfId="0" applyFont="1" applyBorder="1" applyAlignment="1" applyProtection="1">
      <alignment vertical="top"/>
      <protection hidden="1"/>
    </xf>
    <xf numFmtId="0" fontId="26" fillId="0" borderId="25" xfId="0" applyFont="1" applyBorder="1" applyAlignment="1" applyProtection="1">
      <alignment vertical="top" wrapText="1"/>
      <protection hidden="1"/>
    </xf>
    <xf numFmtId="0" fontId="6" fillId="0" borderId="25" xfId="0" applyFont="1" applyBorder="1" applyAlignment="1" applyProtection="1">
      <alignment horizontal="center" wrapText="1" shrinkToFit="1"/>
      <protection hidden="1"/>
    </xf>
    <xf numFmtId="0" fontId="6" fillId="0" borderId="24" xfId="0" applyFont="1" applyBorder="1" applyAlignment="1" applyProtection="1">
      <alignment horizontal="right" vertical="top"/>
      <protection hidden="1"/>
    </xf>
    <xf numFmtId="0" fontId="6" fillId="0" borderId="25" xfId="0" applyFont="1" applyBorder="1" applyAlignment="1" applyProtection="1">
      <alignment vertical="top"/>
      <protection hidden="1"/>
    </xf>
    <xf numFmtId="0" fontId="46" fillId="0" borderId="0" xfId="0" applyFont="1" applyAlignment="1" applyProtection="1">
      <alignment/>
      <protection hidden="1"/>
    </xf>
    <xf numFmtId="0" fontId="52" fillId="0" borderId="0" xfId="0" applyFont="1" applyAlignment="1" applyProtection="1">
      <alignment horizontal="left" vertical="center"/>
      <protection hidden="1"/>
    </xf>
    <xf numFmtId="0" fontId="53" fillId="0" borderId="0" xfId="0" applyFont="1" applyAlignment="1" applyProtection="1">
      <alignment horizontal="centerContinuous" vertical="center" wrapText="1"/>
      <protection hidden="1"/>
    </xf>
    <xf numFmtId="0" fontId="46" fillId="0" borderId="0" xfId="0" applyFont="1" applyAlignment="1" applyProtection="1">
      <alignment horizontal="centerContinuous" wrapText="1"/>
      <protection hidden="1"/>
    </xf>
    <xf numFmtId="0" fontId="46" fillId="0" borderId="0" xfId="0" applyFont="1" applyAlignment="1" applyProtection="1">
      <alignment horizontal="left"/>
      <protection hidden="1"/>
    </xf>
    <xf numFmtId="0" fontId="46" fillId="0" borderId="0" xfId="0" applyFont="1" applyAlignment="1" applyProtection="1">
      <alignment wrapText="1"/>
      <protection hidden="1"/>
    </xf>
    <xf numFmtId="0" fontId="48" fillId="0" borderId="0" xfId="0" applyFont="1" applyAlignment="1" applyProtection="1">
      <alignment horizontal="left"/>
      <protection hidden="1"/>
    </xf>
    <xf numFmtId="0" fontId="46" fillId="0" borderId="0" xfId="0" applyFont="1" applyAlignment="1" applyProtection="1">
      <alignment/>
      <protection hidden="1"/>
    </xf>
    <xf numFmtId="0" fontId="54" fillId="0" borderId="0" xfId="0" applyFont="1" applyAlignment="1" applyProtection="1">
      <alignment horizontal="centerContinuous"/>
      <protection hidden="1"/>
    </xf>
    <xf numFmtId="0" fontId="55" fillId="20" borderId="0" xfId="0" applyFont="1" applyFill="1" applyAlignment="1" applyProtection="1" quotePrefix="1">
      <alignment horizontal="justify"/>
      <protection hidden="1"/>
    </xf>
    <xf numFmtId="0" fontId="55" fillId="20" borderId="0" xfId="0" applyFont="1" applyFill="1" applyAlignment="1" applyProtection="1" quotePrefix="1">
      <alignment horizontal="left"/>
      <protection hidden="1"/>
    </xf>
    <xf numFmtId="0" fontId="55" fillId="20" borderId="0" xfId="0" applyFont="1" applyFill="1" applyAlignment="1" applyProtection="1" quotePrefix="1">
      <alignment/>
      <protection hidden="1"/>
    </xf>
    <xf numFmtId="0" fontId="22" fillId="0" borderId="0" xfId="0" applyFont="1" applyAlignment="1" applyProtection="1">
      <alignment horizontal="centerContinuous"/>
      <protection hidden="1"/>
    </xf>
    <xf numFmtId="0" fontId="52" fillId="0" borderId="0" xfId="0" applyFont="1" applyAlignment="1" applyProtection="1">
      <alignment horizontal="centerContinuous" vertical="center" wrapText="1"/>
      <protection hidden="1"/>
    </xf>
    <xf numFmtId="0" fontId="13" fillId="0" borderId="0" xfId="0" applyFont="1" applyAlignment="1" applyProtection="1">
      <alignment horizontal="centerContinuous" vertical="center" wrapText="1"/>
      <protection hidden="1"/>
    </xf>
    <xf numFmtId="0" fontId="46" fillId="0" borderId="0" xfId="0" applyFont="1" applyAlignment="1" applyProtection="1">
      <alignment horizontal="centerContinuous" vertical="center" wrapText="1"/>
      <protection hidden="1"/>
    </xf>
    <xf numFmtId="0" fontId="22" fillId="0" borderId="0" xfId="53" applyFont="1" applyAlignment="1" applyProtection="1">
      <alignment horizontal="centerContinuous"/>
      <protection hidden="1"/>
    </xf>
    <xf numFmtId="0" fontId="6" fillId="0" borderId="0" xfId="0" applyFont="1" applyBorder="1" applyAlignment="1" applyProtection="1">
      <alignment vertical="top" wrapText="1"/>
      <protection hidden="1"/>
    </xf>
    <xf numFmtId="0" fontId="54" fillId="0" borderId="0" xfId="0" applyFont="1" applyBorder="1" applyAlignment="1" applyProtection="1">
      <alignment horizontal="right" vertical="center"/>
      <protection hidden="1"/>
    </xf>
    <xf numFmtId="0" fontId="6" fillId="0" borderId="0" xfId="0" applyFont="1" applyAlignment="1" applyProtection="1">
      <alignment horizontal="right" vertical="center"/>
      <protection/>
    </xf>
    <xf numFmtId="0" fontId="6" fillId="19" borderId="0" xfId="0" applyFont="1" applyFill="1" applyAlignment="1" applyProtection="1">
      <alignment vertical="center"/>
      <protection/>
    </xf>
    <xf numFmtId="0" fontId="6" fillId="3" borderId="0" xfId="0" applyFont="1" applyFill="1" applyAlignment="1" applyProtection="1">
      <alignment vertical="center"/>
      <protection/>
    </xf>
    <xf numFmtId="0" fontId="19" fillId="0" borderId="0" xfId="0" applyFont="1" applyBorder="1" applyAlignment="1" applyProtection="1">
      <alignment vertical="center"/>
      <protection/>
    </xf>
    <xf numFmtId="0" fontId="13" fillId="0" borderId="0" xfId="0" applyFont="1" applyBorder="1" applyAlignment="1">
      <alignment horizontal="center" vertical="center" wrapText="1"/>
    </xf>
    <xf numFmtId="0" fontId="6" fillId="0" borderId="0" xfId="0" applyFont="1" applyBorder="1" applyAlignment="1" applyProtection="1">
      <alignment vertical="center" wrapText="1"/>
      <protection/>
    </xf>
    <xf numFmtId="0" fontId="6" fillId="0" borderId="0" xfId="0" applyFont="1" applyBorder="1" applyAlignment="1" applyProtection="1">
      <alignment vertical="center" wrapText="1" shrinkToFit="1"/>
      <protection/>
    </xf>
    <xf numFmtId="0" fontId="6"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37" fillId="0" borderId="31" xfId="0" applyFont="1" applyBorder="1" applyAlignment="1" applyProtection="1">
      <alignment vertical="center"/>
      <protection/>
    </xf>
    <xf numFmtId="0" fontId="13" fillId="0" borderId="32"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31" xfId="0" applyFont="1" applyBorder="1" applyAlignment="1" applyProtection="1">
      <alignment/>
      <protection/>
    </xf>
    <xf numFmtId="0" fontId="19" fillId="0" borderId="33" xfId="0" applyFont="1" applyBorder="1" applyAlignment="1" applyProtection="1">
      <alignment vertical="center"/>
      <protection/>
    </xf>
    <xf numFmtId="0" fontId="19" fillId="0" borderId="34" xfId="0" applyFont="1" applyBorder="1" applyAlignment="1" applyProtection="1">
      <alignment vertical="center"/>
      <protection hidden="1"/>
    </xf>
    <xf numFmtId="0" fontId="14" fillId="0" borderId="34" xfId="0" applyFont="1" applyBorder="1" applyAlignment="1" applyProtection="1">
      <alignment vertical="center"/>
      <protection hidden="1"/>
    </xf>
    <xf numFmtId="0" fontId="6" fillId="0" borderId="30" xfId="0" applyFont="1" applyBorder="1" applyAlignment="1" applyProtection="1">
      <alignment vertical="center"/>
      <protection hidden="1"/>
    </xf>
    <xf numFmtId="0" fontId="19" fillId="0" borderId="31" xfId="0" applyFont="1" applyBorder="1" applyAlignment="1" applyProtection="1">
      <alignment vertical="center"/>
      <protection/>
    </xf>
    <xf numFmtId="0" fontId="37" fillId="0" borderId="31" xfId="0" applyFont="1" applyBorder="1" applyAlignment="1" applyProtection="1">
      <alignment vertical="center" shrinkToFit="1"/>
      <protection/>
    </xf>
    <xf numFmtId="0" fontId="6" fillId="0" borderId="29" xfId="0" applyFont="1" applyBorder="1" applyAlignment="1" applyProtection="1">
      <alignment/>
      <protection/>
    </xf>
    <xf numFmtId="0" fontId="6" fillId="0" borderId="30" xfId="0" applyFont="1" applyBorder="1" applyAlignment="1" applyProtection="1">
      <alignment/>
      <protection hidden="1"/>
    </xf>
    <xf numFmtId="0" fontId="6" fillId="0" borderId="17" xfId="0" applyFont="1" applyBorder="1" applyAlignment="1" applyProtection="1">
      <alignment vertical="center"/>
      <protection/>
    </xf>
    <xf numFmtId="0" fontId="19" fillId="3" borderId="19" xfId="0" applyFont="1" applyFill="1" applyBorder="1" applyAlignment="1" applyProtection="1">
      <alignment vertical="center"/>
      <protection/>
    </xf>
    <xf numFmtId="49" fontId="6" fillId="3" borderId="0" xfId="0" applyNumberFormat="1" applyFont="1" applyFill="1" applyAlignment="1" applyProtection="1">
      <alignment vertical="center"/>
      <protection/>
    </xf>
    <xf numFmtId="0" fontId="6" fillId="0" borderId="19" xfId="0" applyFont="1" applyBorder="1" applyAlignment="1" applyProtection="1">
      <alignment vertical="center"/>
      <protection locked="0"/>
    </xf>
    <xf numFmtId="0" fontId="22" fillId="0" borderId="0" xfId="0" applyFont="1" applyBorder="1" applyAlignment="1" applyProtection="1" quotePrefix="1">
      <alignment horizontal="left" vertical="center"/>
      <protection/>
    </xf>
    <xf numFmtId="0" fontId="6" fillId="14" borderId="0" xfId="0" applyFont="1" applyFill="1" applyAlignment="1" applyProtection="1">
      <alignment/>
      <protection locked="0"/>
    </xf>
    <xf numFmtId="0" fontId="6" fillId="0" borderId="30" xfId="0" applyFont="1" applyBorder="1" applyAlignment="1" applyProtection="1">
      <alignment/>
      <protection/>
    </xf>
    <xf numFmtId="182" fontId="6" fillId="0" borderId="15" xfId="0" applyNumberFormat="1" applyFont="1" applyBorder="1" applyAlignment="1" applyProtection="1">
      <alignment horizontal="right"/>
      <protection locked="0"/>
    </xf>
    <xf numFmtId="0" fontId="6" fillId="0" borderId="0" xfId="0" applyNumberFormat="1" applyFont="1" applyAlignment="1" applyProtection="1">
      <alignment horizontal="right"/>
      <protection locked="0"/>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56" fillId="0" borderId="10" xfId="0" applyFont="1" applyBorder="1" applyAlignment="1" applyProtection="1">
      <alignment vertical="center" wrapText="1"/>
      <protection locked="0"/>
    </xf>
    <xf numFmtId="0" fontId="57" fillId="0" borderId="22" xfId="0" applyFont="1" applyBorder="1" applyAlignment="1" applyProtection="1" quotePrefix="1">
      <alignment vertical="center"/>
      <protection locked="0"/>
    </xf>
    <xf numFmtId="0" fontId="6" fillId="0" borderId="16" xfId="0" applyFont="1" applyBorder="1" applyAlignment="1" applyProtection="1">
      <alignment horizontal="center"/>
      <protection locked="0"/>
    </xf>
    <xf numFmtId="0" fontId="6" fillId="19" borderId="12" xfId="0" applyFont="1" applyFill="1" applyBorder="1" applyAlignment="1" applyProtection="1">
      <alignment horizontal="center"/>
      <protection locked="0"/>
    </xf>
    <xf numFmtId="0" fontId="6" fillId="19" borderId="16" xfId="0" applyFont="1" applyFill="1" applyBorder="1" applyAlignment="1" applyProtection="1">
      <alignment horizontal="center" vertical="center"/>
      <protection locked="0"/>
    </xf>
    <xf numFmtId="0" fontId="33" fillId="0" borderId="22" xfId="0" applyFont="1" applyBorder="1" applyAlignment="1" applyProtection="1">
      <alignment horizontal="center"/>
      <protection locked="0"/>
    </xf>
    <xf numFmtId="0" fontId="6" fillId="19" borderId="13" xfId="0" applyFont="1" applyFill="1" applyBorder="1" applyAlignment="1" applyProtection="1">
      <alignment horizontal="center"/>
      <protection locked="0"/>
    </xf>
    <xf numFmtId="0" fontId="6" fillId="19" borderId="0" xfId="0" applyFont="1" applyFill="1" applyBorder="1" applyAlignment="1" applyProtection="1">
      <alignment horizontal="center" vertical="center"/>
      <protection locked="0"/>
    </xf>
    <xf numFmtId="0" fontId="6" fillId="19" borderId="0" xfId="0" applyFont="1" applyFill="1" applyBorder="1" applyAlignment="1" applyProtection="1">
      <alignment horizontal="center"/>
      <protection locked="0"/>
    </xf>
    <xf numFmtId="0" fontId="6" fillId="19" borderId="0" xfId="0" applyFont="1" applyFill="1" applyAlignment="1" applyProtection="1">
      <alignment horizontal="center" vertical="center"/>
      <protection/>
    </xf>
    <xf numFmtId="0" fontId="6" fillId="0" borderId="0" xfId="0" applyFont="1" applyAlignment="1" applyProtection="1">
      <alignment/>
      <protection locked="0"/>
    </xf>
    <xf numFmtId="0" fontId="30" fillId="0" borderId="0" xfId="0" applyFont="1" applyAlignment="1" applyProtection="1">
      <alignment vertical="center"/>
      <protection locked="0"/>
    </xf>
    <xf numFmtId="6" fontId="19" fillId="0" borderId="0" xfId="0" applyNumberFormat="1" applyFont="1" applyBorder="1" applyAlignment="1" applyProtection="1">
      <alignment horizontal="left"/>
      <protection hidden="1"/>
    </xf>
    <xf numFmtId="0" fontId="22" fillId="21" borderId="0" xfId="0" applyFont="1" applyFill="1" applyBorder="1" applyAlignment="1" applyProtection="1" quotePrefix="1">
      <alignment/>
      <protection locked="0"/>
    </xf>
    <xf numFmtId="0" fontId="22" fillId="21" borderId="0" xfId="0" applyFont="1" applyFill="1" applyAlignment="1" applyProtection="1">
      <alignment/>
      <protection locked="0"/>
    </xf>
    <xf numFmtId="0" fontId="6" fillId="21" borderId="0" xfId="0" applyFont="1" applyFill="1" applyAlignment="1" applyProtection="1">
      <alignment/>
      <protection hidden="1"/>
    </xf>
    <xf numFmtId="0" fontId="6" fillId="21" borderId="0" xfId="0" applyFont="1" applyFill="1" applyBorder="1" applyAlignment="1" applyProtection="1">
      <alignment/>
      <protection locked="0"/>
    </xf>
    <xf numFmtId="0" fontId="6" fillId="21" borderId="0" xfId="0" applyFont="1" applyFill="1" applyAlignment="1" applyProtection="1">
      <alignment/>
      <protection locked="0"/>
    </xf>
    <xf numFmtId="0" fontId="6" fillId="21" borderId="0" xfId="0" applyFont="1" applyFill="1" applyAlignment="1" applyProtection="1">
      <alignment vertical="center"/>
      <protection hidden="1"/>
    </xf>
    <xf numFmtId="0" fontId="8" fillId="0" borderId="0" xfId="0" applyFont="1" applyBorder="1" applyAlignment="1" applyProtection="1">
      <alignment horizontal="left" vertical="center"/>
      <protection hidden="1"/>
    </xf>
    <xf numFmtId="0" fontId="19" fillId="0" borderId="0" xfId="0" applyFont="1" applyBorder="1" applyAlignment="1" applyProtection="1">
      <alignment/>
      <protection hidden="1"/>
    </xf>
    <xf numFmtId="0" fontId="21" fillId="0" borderId="0" xfId="0" applyFont="1" applyBorder="1" applyAlignment="1" applyProtection="1">
      <alignment/>
      <protection hidden="1"/>
    </xf>
    <xf numFmtId="180" fontId="50" fillId="0" borderId="0" xfId="0" applyNumberFormat="1" applyFont="1" applyBorder="1" applyAlignment="1" applyProtection="1">
      <alignment horizontal="right" vertical="center"/>
      <protection hidden="1"/>
    </xf>
    <xf numFmtId="0" fontId="43" fillId="0" borderId="0" xfId="0" applyFont="1" applyBorder="1" applyAlignment="1" applyProtection="1">
      <alignment vertical="center"/>
      <protection hidden="1"/>
    </xf>
    <xf numFmtId="0" fontId="6" fillId="21" borderId="0" xfId="0" applyFont="1" applyFill="1" applyAlignment="1" applyProtection="1" quotePrefix="1">
      <alignment/>
      <protection hidden="1"/>
    </xf>
    <xf numFmtId="0" fontId="6" fillId="17" borderId="0" xfId="0" applyFont="1" applyFill="1" applyAlignment="1" applyProtection="1">
      <alignment horizontal="center"/>
      <protection locked="0"/>
    </xf>
    <xf numFmtId="0" fontId="43" fillId="0" borderId="0" xfId="0" applyFont="1" applyAlignment="1" applyProtection="1">
      <alignment/>
      <protection locked="0"/>
    </xf>
    <xf numFmtId="0" fontId="59" fillId="0" borderId="0" xfId="0" applyFont="1" applyFill="1" applyBorder="1" applyAlignment="1" applyProtection="1">
      <alignment horizontal="left" vertical="center" wrapText="1"/>
      <protection hidden="1"/>
    </xf>
    <xf numFmtId="5" fontId="49" fillId="0" borderId="0" xfId="0" applyNumberFormat="1" applyFont="1" applyBorder="1" applyAlignment="1" applyProtection="1">
      <alignment horizontal="right" wrapText="1"/>
      <protection hidden="1"/>
    </xf>
    <xf numFmtId="0" fontId="45" fillId="0" borderId="0" xfId="0" applyFont="1" applyBorder="1" applyAlignment="1" applyProtection="1">
      <alignment horizontal="right" wrapText="1"/>
      <protection hidden="1"/>
    </xf>
    <xf numFmtId="6" fontId="45" fillId="0" borderId="0" xfId="0" applyNumberFormat="1" applyFont="1" applyBorder="1" applyAlignment="1" applyProtection="1">
      <alignment horizontal="right" wrapText="1"/>
      <protection hidden="1"/>
    </xf>
    <xf numFmtId="0" fontId="6" fillId="0" borderId="0" xfId="0" applyFont="1" applyFill="1" applyBorder="1" applyAlignment="1" applyProtection="1">
      <alignment horizontal="center" wrapText="1" shrinkToFit="1"/>
      <protection hidden="1"/>
    </xf>
    <xf numFmtId="180" fontId="37" fillId="0" borderId="0" xfId="0" applyNumberFormat="1" applyFont="1" applyBorder="1" applyAlignment="1" applyProtection="1">
      <alignment horizontal="right" wrapText="1"/>
      <protection hidden="1"/>
    </xf>
    <xf numFmtId="0" fontId="46" fillId="0" borderId="0" xfId="0" applyFont="1" applyBorder="1" applyAlignment="1" applyProtection="1">
      <alignment horizontal="left" vertical="top" indent="1"/>
      <protection hidden="1"/>
    </xf>
    <xf numFmtId="180" fontId="8" fillId="0" borderId="0" xfId="0" applyNumberFormat="1" applyFont="1" applyBorder="1" applyAlignment="1" applyProtection="1">
      <alignment/>
      <protection hidden="1"/>
    </xf>
    <xf numFmtId="0" fontId="6" fillId="0" borderId="35" xfId="0" applyFont="1" applyBorder="1" applyAlignment="1" applyProtection="1">
      <alignment horizontal="right" vertical="top"/>
      <protection hidden="1"/>
    </xf>
    <xf numFmtId="0" fontId="6" fillId="0" borderId="36" xfId="0" applyFont="1" applyBorder="1" applyAlignment="1" applyProtection="1">
      <alignment vertical="center"/>
      <protection hidden="1"/>
    </xf>
    <xf numFmtId="0" fontId="22" fillId="0" borderId="36" xfId="0" applyFont="1" applyBorder="1" applyAlignment="1" applyProtection="1">
      <alignment horizontal="left" vertical="center" indent="2"/>
      <protection hidden="1"/>
    </xf>
    <xf numFmtId="0" fontId="58" fillId="0" borderId="0" xfId="0" applyFont="1" applyBorder="1" applyAlignment="1" applyProtection="1">
      <alignment horizontal="right"/>
      <protection hidden="1"/>
    </xf>
    <xf numFmtId="0" fontId="8" fillId="0" borderId="0" xfId="0" applyFont="1" applyBorder="1" applyAlignment="1" applyProtection="1">
      <alignment horizontal="right"/>
      <protection hidden="1"/>
    </xf>
    <xf numFmtId="0" fontId="6" fillId="0" borderId="0" xfId="0" applyFont="1" applyBorder="1" applyAlignment="1" applyProtection="1">
      <alignment horizontal="left" vertical="top" indent="4"/>
      <protection hidden="1"/>
    </xf>
    <xf numFmtId="0" fontId="6" fillId="2" borderId="0" xfId="0" applyFont="1" applyFill="1" applyAlignment="1" applyProtection="1">
      <alignment/>
      <protection locked="0"/>
    </xf>
    <xf numFmtId="0" fontId="46" fillId="0"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0" xfId="0" applyFont="1" applyAlignment="1">
      <alignment horizontal="left"/>
    </xf>
    <xf numFmtId="0" fontId="6" fillId="21" borderId="0" xfId="0" applyFont="1" applyFill="1" applyAlignment="1" applyProtection="1" quotePrefix="1">
      <alignment vertical="center"/>
      <protection hidden="1"/>
    </xf>
    <xf numFmtId="0" fontId="6" fillId="8" borderId="0" xfId="0" applyFont="1" applyFill="1" applyAlignment="1" applyProtection="1">
      <alignment vertical="center"/>
      <protection locked="0"/>
    </xf>
    <xf numFmtId="0" fontId="6" fillId="0" borderId="0" xfId="0" applyFont="1" applyBorder="1" applyAlignment="1" applyProtection="1">
      <alignment horizontal="right" vertical="top"/>
      <protection hidden="1"/>
    </xf>
    <xf numFmtId="0" fontId="6" fillId="0" borderId="37" xfId="0" applyFont="1" applyBorder="1" applyAlignment="1" applyProtection="1">
      <alignment vertical="top"/>
      <protection hidden="1"/>
    </xf>
    <xf numFmtId="0" fontId="6" fillId="0" borderId="37" xfId="0" applyFont="1" applyBorder="1" applyAlignment="1" applyProtection="1">
      <alignment horizontal="centerContinuous"/>
      <protection hidden="1"/>
    </xf>
    <xf numFmtId="0" fontId="6" fillId="0" borderId="0" xfId="0" applyFont="1" applyBorder="1" applyAlignment="1" applyProtection="1">
      <alignment horizontal="right" vertical="center"/>
      <protection hidden="1"/>
    </xf>
    <xf numFmtId="0" fontId="22" fillId="0" borderId="0" xfId="0" applyFont="1" applyAlignment="1">
      <alignment horizontal="left" vertical="center" wrapText="1"/>
    </xf>
    <xf numFmtId="0" fontId="6" fillId="0" borderId="27" xfId="0" applyFont="1" applyBorder="1" applyAlignment="1">
      <alignment horizontal="center" vertical="center"/>
    </xf>
    <xf numFmtId="0" fontId="6" fillId="0" borderId="0" xfId="0" applyFont="1" applyAlignment="1">
      <alignment horizontal="left" indent="1"/>
    </xf>
    <xf numFmtId="0" fontId="6" fillId="0" borderId="0" xfId="0" applyFont="1" applyAlignment="1">
      <alignment horizontal="left" vertical="top" indent="1"/>
    </xf>
    <xf numFmtId="0" fontId="6" fillId="0" borderId="0" xfId="0" applyFont="1" applyAlignment="1">
      <alignment/>
    </xf>
    <xf numFmtId="0" fontId="6" fillId="0" borderId="25" xfId="0" applyFont="1" applyBorder="1" applyAlignment="1">
      <alignment horizontal="left" indent="2"/>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wrapText="1"/>
    </xf>
    <xf numFmtId="0" fontId="15" fillId="0" borderId="0" xfId="53" applyFont="1" applyFill="1" applyBorder="1" applyAlignment="1" applyProtection="1">
      <alignment vertical="center" wrapText="1"/>
      <protection/>
    </xf>
    <xf numFmtId="0" fontId="22" fillId="0" borderId="0" xfId="0" applyFont="1" applyAlignment="1" applyProtection="1">
      <alignment horizontal="center" wrapText="1"/>
      <protection hidden="1"/>
    </xf>
    <xf numFmtId="0" fontId="6" fillId="21" borderId="0" xfId="0" applyFont="1" applyFill="1" applyAlignment="1" applyProtection="1">
      <alignment horizontal="center" vertical="center"/>
      <protection locked="0"/>
    </xf>
    <xf numFmtId="0" fontId="6" fillId="3" borderId="0" xfId="0" applyNumberFormat="1" applyFont="1" applyFill="1" applyBorder="1" applyAlignment="1" applyProtection="1">
      <alignment/>
      <protection locked="0"/>
    </xf>
    <xf numFmtId="0" fontId="22" fillId="0" borderId="0" xfId="0" applyFont="1" applyAlignment="1" applyProtection="1">
      <alignment horizontal="right"/>
      <protection locked="0"/>
    </xf>
    <xf numFmtId="0" fontId="22" fillId="0" borderId="0" xfId="0" applyFont="1" applyFill="1" applyAlignment="1" applyProtection="1">
      <alignment horizontal="center"/>
      <protection locked="0"/>
    </xf>
    <xf numFmtId="5" fontId="54" fillId="0" borderId="0" xfId="0" applyNumberFormat="1" applyFont="1" applyBorder="1" applyAlignment="1" applyProtection="1">
      <alignment horizontal="right" wrapText="1"/>
      <protection hidden="1"/>
    </xf>
    <xf numFmtId="0" fontId="6" fillId="0" borderId="0" xfId="0" applyFont="1" applyFill="1" applyBorder="1" applyAlignment="1" applyProtection="1">
      <alignment/>
      <protection locked="0"/>
    </xf>
    <xf numFmtId="0" fontId="6" fillId="6"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hidden="1"/>
    </xf>
    <xf numFmtId="0" fontId="6" fillId="6" borderId="0" xfId="0" applyFont="1" applyFill="1" applyAlignment="1" applyProtection="1">
      <alignment vertical="center"/>
      <protection locked="0"/>
    </xf>
    <xf numFmtId="0" fontId="22" fillId="0" borderId="0" xfId="0" applyFont="1" applyAlignment="1" applyProtection="1">
      <alignment/>
      <protection locked="0"/>
    </xf>
    <xf numFmtId="0" fontId="6" fillId="9" borderId="0" xfId="0" applyFont="1" applyFill="1" applyAlignment="1" applyProtection="1">
      <alignment horizontal="center" vertical="top"/>
      <protection locked="0"/>
    </xf>
    <xf numFmtId="0" fontId="6" fillId="8" borderId="0" xfId="0" applyFont="1" applyFill="1" applyAlignment="1" applyProtection="1">
      <alignment/>
      <protection locked="0"/>
    </xf>
    <xf numFmtId="0" fontId="6" fillId="0" borderId="38" xfId="0" applyFont="1" applyFill="1" applyBorder="1" applyAlignment="1" applyProtection="1">
      <alignment horizontal="center"/>
      <protection locked="0"/>
    </xf>
    <xf numFmtId="0" fontId="6" fillId="0" borderId="24" xfId="0" applyFont="1" applyBorder="1" applyAlignment="1" applyProtection="1">
      <alignment/>
      <protection hidden="1"/>
    </xf>
    <xf numFmtId="0" fontId="13" fillId="0" borderId="25" xfId="0" applyFont="1" applyBorder="1" applyAlignment="1" applyProtection="1">
      <alignment wrapText="1"/>
      <protection hidden="1"/>
    </xf>
    <xf numFmtId="0" fontId="6" fillId="0" borderId="0" xfId="0" applyFont="1" applyFill="1" applyAlignment="1" applyProtection="1">
      <alignment/>
      <protection hidden="1"/>
    </xf>
    <xf numFmtId="0" fontId="6" fillId="0" borderId="0" xfId="0" applyFont="1" applyBorder="1" applyAlignment="1" applyProtection="1">
      <alignment horizontal="left" vertical="top"/>
      <protection hidden="1"/>
    </xf>
    <xf numFmtId="0" fontId="6" fillId="0" borderId="0" xfId="0" applyFont="1" applyAlignment="1" applyProtection="1">
      <alignment horizontal="center"/>
      <protection hidden="1"/>
    </xf>
    <xf numFmtId="0" fontId="22" fillId="0" borderId="0" xfId="0" applyFont="1" applyAlignment="1" applyProtection="1">
      <alignment horizontal="center" vertical="top" wrapText="1"/>
      <protection hidden="1"/>
    </xf>
    <xf numFmtId="0" fontId="6" fillId="0" borderId="0" xfId="0" applyFont="1" applyAlignment="1" applyProtection="1" quotePrefix="1">
      <alignment horizontal="center"/>
      <protection hidden="1"/>
    </xf>
    <xf numFmtId="0" fontId="22" fillId="0" borderId="0" xfId="0" applyFont="1" applyAlignment="1" applyProtection="1">
      <alignment horizontal="center" vertical="center" wrapText="1"/>
      <protection hidden="1"/>
    </xf>
    <xf numFmtId="0" fontId="22" fillId="0" borderId="0" xfId="0" applyFont="1" applyAlignment="1" applyProtection="1">
      <alignment vertical="center"/>
      <protection locked="0"/>
    </xf>
    <xf numFmtId="0" fontId="22" fillId="0" borderId="15" xfId="0" applyFont="1" applyBorder="1" applyAlignment="1" applyProtection="1">
      <alignment/>
      <protection locked="0"/>
    </xf>
    <xf numFmtId="0" fontId="22" fillId="0" borderId="19" xfId="0" applyFont="1" applyBorder="1" applyAlignment="1" applyProtection="1">
      <alignment/>
      <protection locked="0"/>
    </xf>
    <xf numFmtId="0" fontId="22" fillId="0" borderId="19" xfId="0" applyFont="1" applyBorder="1" applyAlignment="1" applyProtection="1">
      <alignment/>
      <protection hidden="1"/>
    </xf>
    <xf numFmtId="0" fontId="22" fillId="0" borderId="18" xfId="0" applyFont="1" applyBorder="1" applyAlignment="1" applyProtection="1">
      <alignment/>
      <protection locked="0"/>
    </xf>
    <xf numFmtId="0" fontId="6" fillId="0" borderId="14"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22" fillId="0" borderId="0" xfId="0" applyFont="1" applyAlignment="1" applyProtection="1">
      <alignment/>
      <protection hidden="1"/>
    </xf>
    <xf numFmtId="0" fontId="6" fillId="8" borderId="0" xfId="0" applyFont="1" applyFill="1" applyAlignment="1" applyProtection="1">
      <alignment horizontal="center"/>
      <protection hidden="1"/>
    </xf>
    <xf numFmtId="0" fontId="22" fillId="0" borderId="0" xfId="0" applyFont="1" applyAlignment="1" applyProtection="1">
      <alignment horizontal="center"/>
      <protection hidden="1"/>
    </xf>
    <xf numFmtId="0" fontId="56" fillId="0" borderId="39" xfId="0" applyFont="1" applyBorder="1" applyAlignment="1" applyProtection="1">
      <alignment vertical="center" wrapText="1"/>
      <protection locked="0"/>
    </xf>
    <xf numFmtId="0" fontId="57" fillId="0" borderId="20" xfId="0" applyFont="1" applyBorder="1" applyAlignment="1" applyProtection="1" quotePrefix="1">
      <alignment vertical="center"/>
      <protection locked="0"/>
    </xf>
    <xf numFmtId="0" fontId="57" fillId="0" borderId="11" xfId="0" applyFont="1" applyBorder="1" applyAlignment="1" applyProtection="1">
      <alignment vertical="center" wrapText="1"/>
      <protection locked="0"/>
    </xf>
    <xf numFmtId="0" fontId="39" fillId="0" borderId="17" xfId="0" applyFont="1" applyBorder="1" applyAlignment="1" applyProtection="1">
      <alignment horizontal="left" vertical="center"/>
      <protection locked="0"/>
    </xf>
    <xf numFmtId="0" fontId="57" fillId="0" borderId="21" xfId="0" applyFont="1" applyBorder="1" applyAlignment="1" applyProtection="1" quotePrefix="1">
      <alignment vertical="center"/>
      <protection locked="0"/>
    </xf>
    <xf numFmtId="0" fontId="6" fillId="3" borderId="40" xfId="0" applyFont="1" applyFill="1" applyBorder="1" applyAlignment="1" applyProtection="1" quotePrefix="1">
      <alignment vertical="center" wrapText="1"/>
      <protection locked="0"/>
    </xf>
    <xf numFmtId="0" fontId="39" fillId="0" borderId="17" xfId="0" applyFont="1" applyBorder="1" applyAlignment="1" applyProtection="1">
      <alignment vertical="center" wrapText="1"/>
      <protection/>
    </xf>
    <xf numFmtId="0" fontId="6" fillId="19" borderId="0" xfId="0" applyNumberFormat="1" applyFont="1" applyFill="1" applyAlignment="1" applyProtection="1">
      <alignment horizontal="center" vertical="center"/>
      <protection locked="0"/>
    </xf>
    <xf numFmtId="0" fontId="6" fillId="0" borderId="0" xfId="0" applyFont="1" applyFill="1" applyAlignment="1" applyProtection="1">
      <alignment horizontal="left"/>
      <protection locked="0"/>
    </xf>
    <xf numFmtId="0" fontId="6" fillId="0" borderId="0" xfId="0" applyFont="1" applyAlignment="1" applyProtection="1">
      <alignment horizontal="left"/>
      <protection locked="0"/>
    </xf>
    <xf numFmtId="0" fontId="0" fillId="0" borderId="0" xfId="0" applyAlignment="1">
      <alignment vertical="center"/>
    </xf>
    <xf numFmtId="0" fontId="6" fillId="22" borderId="0" xfId="0" applyFont="1" applyFill="1" applyBorder="1" applyAlignment="1" applyProtection="1">
      <alignment horizontal="left"/>
      <protection locked="0"/>
    </xf>
    <xf numFmtId="0" fontId="6" fillId="22"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xf>
    <xf numFmtId="0" fontId="0" fillId="0" borderId="0" xfId="57">
      <alignment/>
      <protection/>
    </xf>
    <xf numFmtId="0" fontId="66" fillId="23" borderId="41" xfId="58" applyFont="1" applyFill="1" applyBorder="1" applyAlignment="1">
      <alignment horizontal="center"/>
      <protection/>
    </xf>
    <xf numFmtId="0" fontId="0" fillId="0" borderId="0" xfId="0" applyFont="1" applyAlignment="1" quotePrefix="1">
      <alignment horizontal="center"/>
    </xf>
    <xf numFmtId="0" fontId="0" fillId="0" borderId="0" xfId="0" applyAlignment="1">
      <alignment horizontal="center"/>
    </xf>
    <xf numFmtId="0" fontId="61" fillId="0" borderId="0" xfId="0" applyFont="1" applyAlignment="1" applyProtection="1">
      <alignment horizontal="right"/>
      <protection hidden="1"/>
    </xf>
    <xf numFmtId="0" fontId="30" fillId="0" borderId="0" xfId="0" applyFont="1" applyAlignment="1" applyProtection="1">
      <alignment/>
      <protection hidden="1"/>
    </xf>
    <xf numFmtId="14" fontId="6" fillId="0" borderId="0" xfId="0" applyNumberFormat="1" applyFont="1" applyAlignment="1" applyProtection="1">
      <alignment/>
      <protection hidden="1"/>
    </xf>
    <xf numFmtId="0" fontId="61" fillId="0" borderId="0" xfId="0" applyFont="1" applyAlignment="1" applyProtection="1">
      <alignment/>
      <protection hidden="1"/>
    </xf>
    <xf numFmtId="0" fontId="31" fillId="0" borderId="0" xfId="0" applyFont="1" applyAlignment="1" applyProtection="1">
      <alignment horizontal="center"/>
      <protection hidden="1"/>
    </xf>
    <xf numFmtId="0" fontId="62" fillId="0" borderId="0" xfId="0" applyFont="1" applyAlignment="1" applyProtection="1">
      <alignment horizontal="center"/>
      <protection hidden="1"/>
    </xf>
    <xf numFmtId="14" fontId="31" fillId="0" borderId="0" xfId="0" applyNumberFormat="1" applyFont="1" applyAlignment="1" applyProtection="1">
      <alignment/>
      <protection hidden="1"/>
    </xf>
    <xf numFmtId="0" fontId="31" fillId="0" borderId="0" xfId="0" applyFont="1" applyAlignment="1" applyProtection="1">
      <alignment horizontal="left"/>
      <protection hidden="1"/>
    </xf>
    <xf numFmtId="0" fontId="61" fillId="0" borderId="0" xfId="0" applyFont="1" applyAlignment="1" applyProtection="1">
      <alignment horizontal="center"/>
      <protection hidden="1"/>
    </xf>
    <xf numFmtId="0" fontId="63" fillId="0" borderId="0" xfId="0" applyFont="1" applyAlignment="1" applyProtection="1">
      <alignment/>
      <protection hidden="1"/>
    </xf>
    <xf numFmtId="0" fontId="6" fillId="4" borderId="0" xfId="0" applyFont="1" applyFill="1" applyBorder="1" applyAlignment="1" applyProtection="1">
      <alignment/>
      <protection hidden="1"/>
    </xf>
    <xf numFmtId="0" fontId="6" fillId="4" borderId="0" xfId="0" applyFont="1" applyFill="1" applyAlignment="1" applyProtection="1">
      <alignment/>
      <protection hidden="1"/>
    </xf>
    <xf numFmtId="0" fontId="19" fillId="0" borderId="10" xfId="0" applyFont="1" applyBorder="1" applyAlignment="1" applyProtection="1">
      <alignment vertical="center" wrapText="1"/>
      <protection hidden="1"/>
    </xf>
    <xf numFmtId="0" fontId="19" fillId="0" borderId="39" xfId="0" applyFont="1" applyBorder="1" applyAlignment="1" applyProtection="1">
      <alignment vertical="center" wrapText="1"/>
      <protection hidden="1"/>
    </xf>
    <xf numFmtId="0" fontId="12" fillId="0" borderId="42"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center" vertical="center" wrapText="1"/>
      <protection hidden="1"/>
    </xf>
    <xf numFmtId="0" fontId="12" fillId="0" borderId="42" xfId="0" applyFont="1" applyFill="1" applyBorder="1" applyAlignment="1" applyProtection="1">
      <alignment vertical="center" wrapText="1"/>
      <protection hidden="1"/>
    </xf>
    <xf numFmtId="0" fontId="19" fillId="0" borderId="42" xfId="0" applyFont="1" applyBorder="1" applyAlignment="1" applyProtection="1">
      <alignment horizontal="center" vertical="center"/>
      <protection hidden="1"/>
    </xf>
    <xf numFmtId="0" fontId="22" fillId="0" borderId="42" xfId="0" applyFont="1" applyBorder="1" applyAlignment="1" applyProtection="1">
      <alignment horizontal="center" vertical="center" wrapText="1"/>
      <protection hidden="1"/>
    </xf>
    <xf numFmtId="0" fontId="22" fillId="0" borderId="42" xfId="0" applyFont="1" applyBorder="1" applyAlignment="1" applyProtection="1">
      <alignment horizontal="center" vertical="center"/>
      <protection hidden="1"/>
    </xf>
    <xf numFmtId="0" fontId="64" fillId="0" borderId="0" xfId="0" applyFont="1" applyAlignment="1" applyProtection="1">
      <alignment horizontal="right" vertical="center"/>
      <protection hidden="1"/>
    </xf>
    <xf numFmtId="0" fontId="19" fillId="3" borderId="15" xfId="0" applyFont="1" applyFill="1" applyBorder="1" applyAlignment="1" applyProtection="1">
      <alignment/>
      <protection hidden="1"/>
    </xf>
    <xf numFmtId="0" fontId="6" fillId="3" borderId="12" xfId="0" applyFont="1" applyFill="1" applyBorder="1" applyAlignment="1" applyProtection="1">
      <alignment/>
      <protection hidden="1"/>
    </xf>
    <xf numFmtId="0" fontId="6" fillId="3" borderId="13" xfId="0" applyFont="1" applyFill="1" applyBorder="1" applyAlignment="1" applyProtection="1">
      <alignment/>
      <protection hidden="1"/>
    </xf>
    <xf numFmtId="0" fontId="6" fillId="3" borderId="14" xfId="0" applyFont="1" applyFill="1" applyBorder="1" applyAlignment="1" applyProtection="1">
      <alignment/>
      <protection hidden="1"/>
    </xf>
    <xf numFmtId="0" fontId="6" fillId="4" borderId="14" xfId="0" applyFont="1" applyFill="1" applyBorder="1" applyAlignment="1" applyProtection="1">
      <alignment horizontal="center"/>
      <protection hidden="1"/>
    </xf>
    <xf numFmtId="0" fontId="6" fillId="0" borderId="16" xfId="0" applyFont="1" applyBorder="1" applyAlignment="1" applyProtection="1">
      <alignment/>
      <protection hidden="1"/>
    </xf>
    <xf numFmtId="0" fontId="6" fillId="4" borderId="17" xfId="0" applyFont="1" applyFill="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64" fillId="0" borderId="15" xfId="0" applyFont="1" applyBorder="1" applyAlignment="1" applyProtection="1">
      <alignment horizontal="center" vertical="center"/>
      <protection hidden="1"/>
    </xf>
    <xf numFmtId="0" fontId="19" fillId="3" borderId="19" xfId="0" applyFont="1" applyFill="1" applyBorder="1" applyAlignment="1" applyProtection="1">
      <alignment/>
      <protection hidden="1"/>
    </xf>
    <xf numFmtId="0" fontId="6" fillId="3" borderId="16" xfId="0" applyFont="1" applyFill="1" applyBorder="1" applyAlignment="1" applyProtection="1">
      <alignment/>
      <protection hidden="1"/>
    </xf>
    <xf numFmtId="0" fontId="6" fillId="3" borderId="0" xfId="0" applyFont="1" applyFill="1" applyBorder="1" applyAlignment="1" applyProtection="1">
      <alignment/>
      <protection hidden="1"/>
    </xf>
    <xf numFmtId="0" fontId="6" fillId="3" borderId="17" xfId="0" applyFont="1" applyFill="1" applyBorder="1" applyAlignment="1" applyProtection="1">
      <alignment/>
      <protection hidden="1"/>
    </xf>
    <xf numFmtId="0" fontId="6" fillId="0" borderId="16"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17" xfId="0" applyFont="1" applyBorder="1" applyAlignment="1" applyProtection="1">
      <alignment horizontal="center"/>
      <protection hidden="1"/>
    </xf>
    <xf numFmtId="0" fontId="6" fillId="0" borderId="19" xfId="0" applyFont="1" applyBorder="1" applyAlignment="1" applyProtection="1">
      <alignment horizontal="center"/>
      <protection hidden="1"/>
    </xf>
    <xf numFmtId="0" fontId="64" fillId="0" borderId="19" xfId="0" applyFont="1" applyBorder="1" applyAlignment="1" applyProtection="1">
      <alignment horizontal="center" vertical="center"/>
      <protection hidden="1"/>
    </xf>
    <xf numFmtId="0" fontId="6" fillId="24" borderId="22" xfId="0" applyFont="1" applyFill="1" applyBorder="1" applyAlignment="1" applyProtection="1">
      <alignment/>
      <protection hidden="1"/>
    </xf>
    <xf numFmtId="0" fontId="6" fillId="3" borderId="20" xfId="0" applyFont="1" applyFill="1" applyBorder="1" applyAlignment="1" applyProtection="1">
      <alignment/>
      <protection hidden="1"/>
    </xf>
    <xf numFmtId="0" fontId="6" fillId="4" borderId="21" xfId="0" applyFont="1" applyFill="1" applyBorder="1" applyAlignment="1" applyProtection="1">
      <alignment horizontal="center"/>
      <protection hidden="1"/>
    </xf>
    <xf numFmtId="0" fontId="6" fillId="0" borderId="22" xfId="0" applyFont="1" applyBorder="1" applyAlignment="1" applyProtection="1">
      <alignment/>
      <protection hidden="1"/>
    </xf>
    <xf numFmtId="0" fontId="6" fillId="0" borderId="22" xfId="0" applyFont="1" applyBorder="1" applyAlignment="1" applyProtection="1">
      <alignment horizontal="center"/>
      <protection hidden="1"/>
    </xf>
    <xf numFmtId="0" fontId="6" fillId="0" borderId="20" xfId="0" applyFont="1" applyBorder="1" applyAlignment="1" applyProtection="1">
      <alignment horizontal="center"/>
      <protection hidden="1"/>
    </xf>
    <xf numFmtId="0" fontId="6" fillId="0" borderId="18" xfId="0" applyFont="1" applyBorder="1" applyAlignment="1" applyProtection="1">
      <alignment horizontal="center"/>
      <protection hidden="1"/>
    </xf>
    <xf numFmtId="0" fontId="6" fillId="0" borderId="21" xfId="0" applyFont="1" applyBorder="1" applyAlignment="1" applyProtection="1">
      <alignment horizontal="center"/>
      <protection hidden="1"/>
    </xf>
    <xf numFmtId="0" fontId="64" fillId="0" borderId="18" xfId="0" applyFont="1" applyBorder="1" applyAlignment="1" applyProtection="1">
      <alignment horizontal="center" vertical="center"/>
      <protection hidden="1"/>
    </xf>
    <xf numFmtId="0" fontId="19" fillId="3" borderId="18" xfId="0" applyFont="1" applyFill="1" applyBorder="1" applyAlignment="1" applyProtection="1">
      <alignment/>
      <protection hidden="1"/>
    </xf>
    <xf numFmtId="0" fontId="6" fillId="3" borderId="22" xfId="0" applyFont="1" applyFill="1" applyBorder="1" applyAlignment="1" applyProtection="1">
      <alignment/>
      <protection hidden="1"/>
    </xf>
    <xf numFmtId="0" fontId="6" fillId="3" borderId="21" xfId="0" applyFont="1" applyFill="1" applyBorder="1" applyAlignment="1" applyProtection="1">
      <alignment/>
      <protection hidden="1"/>
    </xf>
    <xf numFmtId="0" fontId="6" fillId="3" borderId="0" xfId="0" applyFont="1" applyFill="1" applyAlignment="1" applyProtection="1">
      <alignment/>
      <protection hidden="1"/>
    </xf>
    <xf numFmtId="0" fontId="19" fillId="3" borderId="0" xfId="0" applyFont="1" applyFill="1" applyAlignment="1" applyProtection="1">
      <alignment/>
      <protection hidden="1"/>
    </xf>
    <xf numFmtId="0" fontId="6" fillId="3" borderId="0" xfId="0" applyFont="1" applyFill="1" applyAlignment="1" applyProtection="1" quotePrefix="1">
      <alignment/>
      <protection hidden="1"/>
    </xf>
    <xf numFmtId="0" fontId="6" fillId="0" borderId="0" xfId="0" applyFont="1" applyFill="1" applyAlignment="1" applyProtection="1" quotePrefix="1">
      <alignment/>
      <protection hidden="1"/>
    </xf>
    <xf numFmtId="0" fontId="19" fillId="0" borderId="0" xfId="0" applyFont="1" applyFill="1" applyBorder="1" applyAlignment="1" applyProtection="1">
      <alignment/>
      <protection hidden="1"/>
    </xf>
    <xf numFmtId="0" fontId="6" fillId="0" borderId="0" xfId="0" applyFont="1" applyFill="1" applyBorder="1" applyAlignment="1" applyProtection="1">
      <alignment horizontal="center"/>
      <protection hidden="1"/>
    </xf>
    <xf numFmtId="0" fontId="19" fillId="0" borderId="0" xfId="0" applyFont="1" applyFill="1" applyBorder="1" applyAlignment="1" applyProtection="1">
      <alignment horizontal="center"/>
      <protection hidden="1"/>
    </xf>
    <xf numFmtId="0" fontId="19" fillId="0" borderId="0" xfId="0" applyFont="1" applyAlignment="1" applyProtection="1">
      <alignment/>
      <protection hidden="1"/>
    </xf>
    <xf numFmtId="0" fontId="19" fillId="0" borderId="12" xfId="0" applyFont="1" applyFill="1" applyBorder="1" applyAlignment="1" applyProtection="1">
      <alignment horizontal="center"/>
      <protection hidden="1"/>
    </xf>
    <xf numFmtId="0" fontId="19" fillId="0" borderId="13" xfId="0" applyFont="1" applyFill="1" applyBorder="1" applyAlignment="1" applyProtection="1">
      <alignment horizontal="center"/>
      <protection hidden="1"/>
    </xf>
    <xf numFmtId="0" fontId="19" fillId="0" borderId="14" xfId="0" applyFont="1" applyFill="1" applyBorder="1" applyAlignment="1" applyProtection="1">
      <alignment horizontal="center"/>
      <protection hidden="1"/>
    </xf>
    <xf numFmtId="0" fontId="6" fillId="0" borderId="17" xfId="0" applyFont="1" applyBorder="1" applyAlignment="1" applyProtection="1">
      <alignment/>
      <protection hidden="1"/>
    </xf>
    <xf numFmtId="0" fontId="6" fillId="3" borderId="0" xfId="0" applyFont="1" applyFill="1" applyAlignment="1" applyProtection="1">
      <alignment horizontal="right"/>
      <protection hidden="1"/>
    </xf>
    <xf numFmtId="0" fontId="6" fillId="0" borderId="0" xfId="0" applyFont="1" applyBorder="1" applyAlignment="1" applyProtection="1">
      <alignment horizontal="left"/>
      <protection hidden="1"/>
    </xf>
    <xf numFmtId="0" fontId="6" fillId="0" borderId="10" xfId="0" applyFont="1" applyBorder="1" applyAlignment="1" applyProtection="1">
      <alignment/>
      <protection hidden="1"/>
    </xf>
    <xf numFmtId="0" fontId="6" fillId="0" borderId="39" xfId="0" applyFont="1" applyBorder="1" applyAlignment="1" applyProtection="1">
      <alignment/>
      <protection hidden="1"/>
    </xf>
    <xf numFmtId="0" fontId="6" fillId="0" borderId="11" xfId="0" applyFont="1" applyBorder="1" applyAlignment="1" applyProtection="1">
      <alignment/>
      <protection hidden="1"/>
    </xf>
    <xf numFmtId="0" fontId="6" fillId="0" borderId="0" xfId="0" applyFont="1" applyAlignment="1" applyProtection="1" quotePrefix="1">
      <alignment/>
      <protection hidden="1"/>
    </xf>
    <xf numFmtId="0" fontId="13" fillId="0" borderId="0" xfId="0" applyFont="1" applyBorder="1" applyAlignment="1" applyProtection="1">
      <alignment vertical="center"/>
      <protection hidden="1"/>
    </xf>
    <xf numFmtId="0" fontId="13" fillId="0" borderId="32" xfId="0" applyFont="1" applyBorder="1" applyAlignment="1" applyProtection="1">
      <alignment vertical="center"/>
      <protection hidden="1"/>
    </xf>
    <xf numFmtId="0" fontId="13" fillId="0" borderId="30" xfId="0" applyFont="1" applyBorder="1" applyAlignment="1" applyProtection="1">
      <alignment vertical="center"/>
      <protection hidden="1"/>
    </xf>
    <xf numFmtId="0" fontId="13" fillId="0" borderId="43" xfId="0" applyFont="1" applyBorder="1" applyAlignment="1" applyProtection="1">
      <alignment vertical="center"/>
      <protection hidden="1"/>
    </xf>
    <xf numFmtId="0" fontId="22" fillId="0" borderId="0" xfId="0" applyFont="1" applyBorder="1" applyAlignment="1" applyProtection="1" quotePrefix="1">
      <alignment horizontal="left" vertical="center"/>
      <protection hidden="1"/>
    </xf>
    <xf numFmtId="0" fontId="22"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wrapText="1"/>
      <protection hidden="1"/>
    </xf>
    <xf numFmtId="0" fontId="22" fillId="0" borderId="13" xfId="0" applyFont="1" applyBorder="1" applyAlignment="1" applyProtection="1">
      <alignment horizontal="center" vertical="center" wrapText="1"/>
      <protection locked="0"/>
    </xf>
    <xf numFmtId="0" fontId="6" fillId="0" borderId="0" xfId="0" applyFont="1" applyBorder="1" applyAlignment="1">
      <alignment/>
    </xf>
    <xf numFmtId="0" fontId="15" fillId="25" borderId="0" xfId="53" applyFill="1" applyBorder="1" applyAlignment="1" applyProtection="1">
      <alignment horizontal="left" vertical="center"/>
      <protection locked="0"/>
    </xf>
    <xf numFmtId="0" fontId="46" fillId="25" borderId="0" xfId="0" applyFont="1" applyFill="1" applyBorder="1" applyAlignment="1" applyProtection="1">
      <alignment horizontal="left" vertical="center"/>
      <protection locked="0"/>
    </xf>
    <xf numFmtId="0" fontId="47" fillId="0" borderId="0" xfId="0" applyFont="1" applyBorder="1" applyAlignment="1" applyProtection="1">
      <alignment vertical="top" wrapText="1"/>
      <protection hidden="1"/>
    </xf>
    <xf numFmtId="0" fontId="19" fillId="0" borderId="0" xfId="0" applyFont="1" applyBorder="1" applyAlignment="1" applyProtection="1">
      <alignment vertical="center" wrapText="1"/>
      <protection hidden="1"/>
    </xf>
    <xf numFmtId="0" fontId="6" fillId="0" borderId="37" xfId="0" applyFont="1" applyBorder="1" applyAlignment="1" applyProtection="1">
      <alignment horizontal="left"/>
      <protection hidden="1"/>
    </xf>
    <xf numFmtId="0" fontId="60" fillId="20" borderId="0" xfId="0" applyFont="1" applyFill="1" applyBorder="1" applyAlignment="1" applyProtection="1">
      <alignment horizontal="center" vertical="center" wrapText="1"/>
      <protection hidden="1"/>
    </xf>
    <xf numFmtId="0" fontId="6" fillId="0" borderId="0" xfId="0" applyFont="1" applyBorder="1" applyAlignment="1">
      <alignment wrapText="1"/>
    </xf>
    <xf numFmtId="6" fontId="19" fillId="0" borderId="0" xfId="0" applyNumberFormat="1" applyFont="1" applyBorder="1" applyAlignment="1" applyProtection="1">
      <alignment horizontal="left" vertical="center"/>
      <protection hidden="1"/>
    </xf>
    <xf numFmtId="0" fontId="6" fillId="0" borderId="0" xfId="0" applyFont="1" applyFill="1" applyBorder="1" applyAlignment="1" applyProtection="1">
      <alignment horizontal="left" vertical="center" indent="1"/>
      <protection hidden="1"/>
    </xf>
    <xf numFmtId="0" fontId="19" fillId="26" borderId="36" xfId="0" applyFont="1" applyFill="1" applyBorder="1" applyAlignment="1" applyProtection="1">
      <alignment horizontal="left" vertical="center" indent="2"/>
      <protection locked="0"/>
    </xf>
    <xf numFmtId="0" fontId="19" fillId="26" borderId="44" xfId="0" applyFont="1" applyFill="1" applyBorder="1" applyAlignment="1" applyProtection="1">
      <alignment horizontal="left" vertical="center" indent="2"/>
      <protection locked="0"/>
    </xf>
    <xf numFmtId="0" fontId="38" fillId="20" borderId="45" xfId="0" applyFont="1" applyFill="1" applyBorder="1" applyAlignment="1" applyProtection="1">
      <alignment vertical="center"/>
      <protection hidden="1"/>
    </xf>
    <xf numFmtId="0" fontId="38" fillId="20" borderId="37" xfId="0" applyFont="1" applyFill="1" applyBorder="1" applyAlignment="1" applyProtection="1">
      <alignment vertical="center"/>
      <protection hidden="1"/>
    </xf>
    <xf numFmtId="0" fontId="38" fillId="20" borderId="46" xfId="0" applyFont="1" applyFill="1" applyBorder="1" applyAlignment="1" applyProtection="1">
      <alignment vertical="center"/>
      <protection hidden="1"/>
    </xf>
    <xf numFmtId="49" fontId="46" fillId="25" borderId="0" xfId="0" applyNumberFormat="1" applyFont="1" applyFill="1" applyBorder="1" applyAlignment="1" applyProtection="1">
      <alignment horizontal="left" vertical="center"/>
      <protection locked="0"/>
    </xf>
    <xf numFmtId="0" fontId="46" fillId="25"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5" fillId="0" borderId="0" xfId="53" applyAlignment="1" applyProtection="1">
      <alignment horizontal="center"/>
      <protection hidden="1"/>
    </xf>
    <xf numFmtId="0" fontId="50" fillId="25" borderId="47" xfId="0" applyFont="1" applyFill="1" applyBorder="1" applyAlignment="1" applyProtection="1">
      <alignment horizontal="left" vertical="center" shrinkToFit="1"/>
      <protection locked="0"/>
    </xf>
    <xf numFmtId="0" fontId="15" fillId="0" borderId="0" xfId="53" applyFont="1" applyAlignment="1" applyProtection="1">
      <alignment horizontal="left"/>
      <protection hidden="1"/>
    </xf>
    <xf numFmtId="0" fontId="38" fillId="20" borderId="45" xfId="0" applyFont="1" applyFill="1" applyBorder="1" applyAlignment="1" applyProtection="1">
      <alignment horizontal="left" vertical="center"/>
      <protection hidden="1"/>
    </xf>
    <xf numFmtId="0" fontId="38" fillId="20" borderId="37" xfId="0" applyFont="1" applyFill="1" applyBorder="1" applyAlignment="1" applyProtection="1">
      <alignment horizontal="left" vertical="center"/>
      <protection hidden="1"/>
    </xf>
    <xf numFmtId="0" fontId="38" fillId="20" borderId="46" xfId="0" applyFont="1" applyFill="1" applyBorder="1" applyAlignment="1" applyProtection="1">
      <alignment horizontal="left" vertical="center"/>
      <protection hidden="1"/>
    </xf>
    <xf numFmtId="6" fontId="8" fillId="25" borderId="48" xfId="0" applyNumberFormat="1" applyFont="1" applyFill="1" applyBorder="1" applyAlignment="1" applyProtection="1">
      <alignment horizontal="right" vertical="center" wrapText="1" shrinkToFit="1"/>
      <protection hidden="1"/>
    </xf>
    <xf numFmtId="6" fontId="8" fillId="25" borderId="49" xfId="0" applyNumberFormat="1" applyFont="1" applyFill="1" applyBorder="1" applyAlignment="1" applyProtection="1">
      <alignment horizontal="right" vertical="center" wrapText="1" shrinkToFit="1"/>
      <protection hidden="1"/>
    </xf>
    <xf numFmtId="0" fontId="50" fillId="0" borderId="0" xfId="0" applyFont="1" applyBorder="1" applyAlignment="1" applyProtection="1">
      <alignment horizontal="right" wrapText="1"/>
      <protection hidden="1"/>
    </xf>
    <xf numFmtId="0" fontId="46" fillId="25" borderId="0" xfId="0" applyNumberFormat="1" applyFont="1" applyFill="1" applyBorder="1" applyAlignment="1" applyProtection="1">
      <alignment horizontal="center" vertical="center"/>
      <protection locked="0"/>
    </xf>
    <xf numFmtId="0" fontId="59" fillId="0" borderId="0" xfId="0" applyFont="1" applyFill="1" applyBorder="1" applyAlignment="1" applyProtection="1">
      <alignment horizontal="left" vertical="center" wrapText="1"/>
      <protection hidden="1"/>
    </xf>
    <xf numFmtId="0" fontId="46" fillId="25" borderId="0" xfId="0" applyFont="1" applyFill="1" applyBorder="1" applyAlignment="1" applyProtection="1">
      <alignment vertical="center"/>
      <protection locked="0"/>
    </xf>
    <xf numFmtId="0" fontId="46" fillId="25" borderId="32" xfId="0" applyFont="1" applyFill="1" applyBorder="1" applyAlignment="1" applyProtection="1">
      <alignment vertical="center"/>
      <protection locked="0"/>
    </xf>
    <xf numFmtId="49" fontId="46" fillId="25" borderId="0" xfId="0" applyNumberFormat="1" applyFont="1" applyFill="1" applyBorder="1" applyAlignment="1" applyProtection="1">
      <alignment vertical="center"/>
      <protection locked="0"/>
    </xf>
    <xf numFmtId="49" fontId="46" fillId="25" borderId="32" xfId="0" applyNumberFormat="1" applyFont="1" applyFill="1" applyBorder="1" applyAlignment="1" applyProtection="1">
      <alignment vertical="center"/>
      <protection locked="0"/>
    </xf>
    <xf numFmtId="0" fontId="46" fillId="25" borderId="34" xfId="0" applyFont="1" applyFill="1" applyBorder="1" applyAlignment="1" applyProtection="1">
      <alignment vertical="center"/>
      <protection hidden="1" locked="0"/>
    </xf>
    <xf numFmtId="0" fontId="46" fillId="25" borderId="50" xfId="0" applyFont="1" applyFill="1" applyBorder="1" applyAlignment="1" applyProtection="1">
      <alignment vertical="center"/>
      <protection hidden="1" locked="0"/>
    </xf>
    <xf numFmtId="0" fontId="45" fillId="0" borderId="29" xfId="0" applyFont="1" applyFill="1" applyBorder="1" applyAlignment="1" applyProtection="1">
      <alignment horizontal="center" vertical="center" wrapText="1"/>
      <protection hidden="1"/>
    </xf>
    <xf numFmtId="0" fontId="45" fillId="0" borderId="30" xfId="0" applyFont="1" applyFill="1" applyBorder="1" applyAlignment="1" applyProtection="1">
      <alignment horizontal="center" vertical="center" wrapText="1"/>
      <protection hidden="1"/>
    </xf>
    <xf numFmtId="0" fontId="45" fillId="0" borderId="43" xfId="0" applyFont="1" applyFill="1" applyBorder="1" applyAlignment="1" applyProtection="1">
      <alignment horizontal="center" vertical="center" wrapText="1"/>
      <protection hidden="1"/>
    </xf>
    <xf numFmtId="0" fontId="45" fillId="0" borderId="31"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center" vertical="center" wrapText="1"/>
      <protection hidden="1"/>
    </xf>
    <xf numFmtId="0" fontId="45" fillId="0" borderId="32" xfId="0" applyFont="1" applyFill="1" applyBorder="1" applyAlignment="1" applyProtection="1">
      <alignment horizontal="center" vertical="center" wrapText="1"/>
      <protection hidden="1"/>
    </xf>
    <xf numFmtId="0" fontId="45" fillId="0" borderId="33" xfId="0" applyFont="1" applyFill="1" applyBorder="1" applyAlignment="1" applyProtection="1">
      <alignment horizontal="center" vertical="center" wrapText="1"/>
      <protection hidden="1"/>
    </xf>
    <xf numFmtId="0" fontId="45" fillId="0" borderId="34" xfId="0" applyFont="1" applyFill="1" applyBorder="1" applyAlignment="1" applyProtection="1">
      <alignment horizontal="center" vertical="center" wrapText="1"/>
      <protection hidden="1"/>
    </xf>
    <xf numFmtId="0" fontId="45" fillId="0" borderId="50" xfId="0" applyFont="1" applyFill="1" applyBorder="1" applyAlignment="1" applyProtection="1">
      <alignment horizontal="center" vertical="center" wrapText="1"/>
      <protection hidden="1"/>
    </xf>
    <xf numFmtId="0" fontId="38" fillId="20" borderId="0" xfId="0" applyFont="1" applyFill="1" applyBorder="1" applyAlignment="1" applyProtection="1">
      <alignment horizontal="left" vertical="center" wrapText="1"/>
      <protection hidden="1"/>
    </xf>
    <xf numFmtId="0" fontId="18" fillId="0" borderId="10"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6" fillId="0" borderId="30" xfId="0" applyFont="1" applyBorder="1" applyAlignment="1" applyProtection="1">
      <alignment vertical="center"/>
      <protection/>
    </xf>
    <xf numFmtId="0" fontId="6" fillId="0" borderId="43" xfId="0" applyFont="1" applyBorder="1" applyAlignment="1" applyProtection="1">
      <alignment vertical="center"/>
      <protection/>
    </xf>
    <xf numFmtId="0" fontId="15" fillId="0" borderId="0" xfId="53"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0" fontId="13" fillId="0" borderId="34" xfId="0" applyFont="1" applyFill="1" applyBorder="1" applyAlignment="1" applyProtection="1">
      <alignment horizontal="left" vertical="top" wrapText="1"/>
      <protection hidden="1"/>
    </xf>
    <xf numFmtId="0" fontId="46" fillId="25" borderId="34" xfId="0" applyFont="1" applyFill="1" applyBorder="1" applyAlignment="1" applyProtection="1">
      <alignment horizontal="left" vertical="center"/>
      <protection hidden="1" locked="0"/>
    </xf>
    <xf numFmtId="0" fontId="46" fillId="25" borderId="50" xfId="0" applyFont="1" applyFill="1" applyBorder="1" applyAlignment="1" applyProtection="1">
      <alignment horizontal="left" vertical="center"/>
      <protection hidden="1" locked="0"/>
    </xf>
    <xf numFmtId="0" fontId="41" fillId="20" borderId="0"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horizontal="left" vertical="center" wrapText="1"/>
      <protection hidden="1"/>
    </xf>
    <xf numFmtId="0" fontId="55" fillId="20" borderId="0" xfId="0" applyFont="1" applyFill="1" applyAlignment="1" applyProtection="1">
      <alignment horizontal="left"/>
      <protection hidden="1"/>
    </xf>
    <xf numFmtId="0" fontId="6" fillId="0" borderId="0" xfId="0" applyFont="1" applyAlignment="1" applyProtection="1">
      <alignment vertical="center" wrapText="1"/>
      <protection hidden="1"/>
    </xf>
    <xf numFmtId="0" fontId="55" fillId="20" borderId="0" xfId="0" applyFont="1" applyFill="1" applyAlignment="1" applyProtection="1">
      <alignment/>
      <protection hidden="1"/>
    </xf>
    <xf numFmtId="0" fontId="6" fillId="0" borderId="0" xfId="0" applyFont="1" applyAlignment="1" applyProtection="1">
      <alignment horizontal="left" vertic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NamesQry" xfId="58"/>
    <cellStyle name="Note" xfId="59"/>
    <cellStyle name="Output" xfId="60"/>
    <cellStyle name="Percent" xfId="61"/>
    <cellStyle name="Title" xfId="62"/>
    <cellStyle name="Total" xfId="63"/>
    <cellStyle name="Warning Text" xfId="64"/>
  </cellStyles>
  <dxfs count="118">
    <dxf>
      <font>
        <b/>
        <i val="0"/>
        <color indexed="12"/>
      </font>
      <fill>
        <patternFill>
          <bgColor indexed="26"/>
        </patternFill>
      </fill>
    </dxf>
    <dxf>
      <font>
        <color indexed="9"/>
      </font>
      <fill>
        <patternFill patternType="none">
          <bgColor indexed="65"/>
        </patternFill>
      </fill>
    </dxf>
    <dxf>
      <font>
        <color indexed="9"/>
      </font>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39"/>
      </font>
      <fill>
        <patternFill patternType="none">
          <bgColor indexed="65"/>
        </patternFill>
      </fill>
    </dxf>
    <dxf>
      <font>
        <color rgb="FFF5EBF5"/>
      </font>
    </dxf>
    <dxf>
      <font>
        <color indexed="9"/>
      </font>
    </dxf>
    <dxf>
      <font>
        <color indexed="39"/>
      </font>
      <fill>
        <patternFill patternType="none">
          <bgColor indexed="65"/>
        </patternFill>
      </fill>
    </dxf>
    <dxf>
      <font>
        <color indexed="39"/>
      </font>
      <fill>
        <patternFill patternType="none">
          <bgColor indexed="65"/>
        </patternFill>
      </fill>
    </dxf>
    <dxf>
      <font>
        <color indexed="39"/>
      </font>
      <fill>
        <patternFill patternType="none">
          <bgColor indexed="65"/>
        </patternFill>
      </fill>
    </dxf>
    <dxf>
      <font>
        <color indexed="39"/>
      </font>
      <fill>
        <patternFill patternType="none">
          <bgColor indexed="65"/>
        </patternFill>
      </fill>
    </dxf>
    <dxf>
      <font>
        <color indexed="9"/>
      </font>
    </dxf>
    <dxf>
      <font>
        <color indexed="9"/>
      </font>
    </dxf>
    <dxf>
      <font>
        <color rgb="FFECD9EC"/>
      </font>
    </dxf>
    <dxf>
      <font>
        <color indexed="9"/>
      </font>
    </dxf>
    <dxf>
      <font>
        <color rgb="FFF5EBF5"/>
      </font>
    </dxf>
    <dxf>
      <font>
        <color indexed="9"/>
      </font>
    </dxf>
    <dxf>
      <font>
        <color indexed="9"/>
      </font>
    </dxf>
    <dxf>
      <font>
        <color indexed="9"/>
      </font>
    </dxf>
    <dxf>
      <font>
        <color indexed="9"/>
      </font>
    </dxf>
    <dxf>
      <font>
        <color indexed="9"/>
      </font>
    </dxf>
    <dxf>
      <font>
        <color indexed="9"/>
      </font>
    </dxf>
    <dxf>
      <font>
        <color indexed="9"/>
      </font>
    </dxf>
    <dxf>
      <font>
        <color rgb="FFECD9EC"/>
      </font>
    </dxf>
    <dxf>
      <font>
        <color indexed="9"/>
      </font>
    </dxf>
    <dxf>
      <font>
        <color indexed="9"/>
      </font>
    </dxf>
    <dxf>
      <font>
        <color rgb="FFF5EBF5"/>
      </font>
    </dxf>
    <dxf>
      <font>
        <color indexed="9"/>
      </font>
    </dxf>
    <dxf>
      <font>
        <color indexed="9"/>
      </font>
    </dxf>
    <dxf>
      <font>
        <color indexed="9"/>
      </font>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10"/>
      </font>
    </dxf>
    <dxf>
      <font>
        <color indexed="10"/>
      </font>
    </dxf>
    <dxf>
      <font>
        <b/>
        <i val="0"/>
        <color auto="1"/>
      </font>
    </dxf>
    <dxf>
      <font>
        <b val="0"/>
        <i/>
        <color indexed="10"/>
      </font>
    </dxf>
    <dxf>
      <font>
        <b val="0"/>
        <i/>
        <color indexed="9"/>
      </font>
    </dxf>
    <dxf>
      <font>
        <b/>
        <i val="0"/>
        <color auto="1"/>
      </font>
    </dxf>
    <dxf>
      <font>
        <b val="0"/>
        <i/>
        <color indexed="10"/>
      </font>
    </dxf>
    <dxf>
      <font>
        <color theme="0" tint="-0.14995999634265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color theme="0"/>
      </font>
    </dxf>
    <dxf>
      <font>
        <b/>
        <i val="0"/>
        <color auto="1"/>
      </font>
    </dxf>
    <dxf>
      <font>
        <b val="0"/>
        <i/>
        <color indexed="10"/>
      </font>
    </dxf>
    <dxf>
      <font>
        <color theme="0" tint="-0.149959996342659"/>
      </font>
    </dxf>
    <dxf>
      <font>
        <b/>
        <i val="0"/>
        <color auto="1"/>
      </font>
    </dxf>
    <dxf>
      <font>
        <b val="0"/>
        <i/>
        <color indexed="10"/>
      </font>
    </dxf>
    <dxf>
      <font>
        <color theme="0" tint="-0.149959996342659"/>
      </font>
    </dxf>
    <dxf>
      <font>
        <b/>
        <i val="0"/>
        <color auto="1"/>
      </font>
    </dxf>
    <dxf>
      <font>
        <b val="0"/>
        <i/>
        <color indexed="10"/>
      </font>
    </dxf>
    <dxf>
      <font>
        <color theme="0" tint="-0.149959996342659"/>
      </font>
    </dxf>
    <dxf>
      <font>
        <b/>
        <i val="0"/>
        <color auto="1"/>
      </font>
    </dxf>
    <dxf>
      <font>
        <b val="0"/>
        <i/>
        <color indexed="10"/>
      </font>
    </dxf>
    <dxf>
      <font>
        <color theme="0" tint="-0.14995999634265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b/>
        <i val="0"/>
        <color auto="1"/>
      </font>
    </dxf>
    <dxf>
      <font>
        <b val="0"/>
        <i/>
        <color indexed="10"/>
      </font>
    </dxf>
    <dxf>
      <font>
        <b val="0"/>
        <i/>
        <color indexed="9"/>
      </font>
    </dxf>
    <dxf>
      <font>
        <color indexed="9"/>
      </font>
    </dxf>
    <dxf>
      <font>
        <b val="0"/>
        <i/>
        <color indexed="10"/>
      </font>
    </dxf>
    <dxf>
      <font>
        <color indexed="9"/>
      </font>
      <fill>
        <patternFill>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652D89"/>
      <rgbColor rgb="00A040A0"/>
      <rgbColor rgb="00BF7FBF"/>
      <rgbColor rgb="00D9B2D9"/>
      <rgbColor rgb="00ECD9EC"/>
      <rgbColor rgb="00F5EBF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lub Contacts'!A1" /><Relationship Id="rId3" Type="http://schemas.openxmlformats.org/officeDocument/2006/relationships/hyperlink" Target="#'Terms &amp; Conditions'!A1" /></Relationships>
</file>

<file path=xl/drawings/_rels/drawing2.xml.rels><?xml version="1.0" encoding="utf-8" standalone="yes"?><Relationships xmlns="http://schemas.openxmlformats.org/package/2006/relationships"><Relationship Id="rId1" Type="http://schemas.openxmlformats.org/officeDocument/2006/relationships/hyperlink" Target="#Membership!A1" /><Relationship Id="rId2" Type="http://schemas.openxmlformats.org/officeDocument/2006/relationships/hyperlink" Target="#'Terms &amp; Conditions'!A1" /><Relationship Id="rId3" Type="http://schemas.openxmlformats.org/officeDocument/2006/relationships/hyperlink" Target="#'Club Contacts'!A1" /></Relationships>
</file>

<file path=xl/drawings/_rels/drawing3.xml.rels><?xml version="1.0" encoding="utf-8" standalone="yes"?><Relationships xmlns="http://schemas.openxmlformats.org/package/2006/relationships"><Relationship Id="rId1" Type="http://schemas.openxmlformats.org/officeDocument/2006/relationships/hyperlink" Target="#Membership!A1" /><Relationship Id="rId2" Type="http://schemas.openxmlformats.org/officeDocument/2006/relationships/hyperlink" Target="#'Club Contac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40</xdr:row>
      <xdr:rowOff>0</xdr:rowOff>
    </xdr:from>
    <xdr:to>
      <xdr:col>14</xdr:col>
      <xdr:colOff>0</xdr:colOff>
      <xdr:row>42</xdr:row>
      <xdr:rowOff>200025</xdr:rowOff>
    </xdr:to>
    <xdr:grpSp>
      <xdr:nvGrpSpPr>
        <xdr:cNvPr id="1" name="Group 1747"/>
        <xdr:cNvGrpSpPr>
          <a:grpSpLocks/>
        </xdr:cNvGrpSpPr>
      </xdr:nvGrpSpPr>
      <xdr:grpSpPr>
        <a:xfrm>
          <a:off x="2990850" y="8267700"/>
          <a:ext cx="3152775" cy="523875"/>
          <a:chOff x="309" y="859"/>
          <a:chExt cx="312" cy="59"/>
        </a:xfrm>
        <a:solidFill>
          <a:srgbClr val="FFFFFF"/>
        </a:solidFill>
      </xdr:grpSpPr>
      <xdr:sp>
        <xdr:nvSpPr>
          <xdr:cNvPr id="2" name="AutoShape 1671"/>
          <xdr:cNvSpPr>
            <a:spLocks/>
          </xdr:cNvSpPr>
        </xdr:nvSpPr>
        <xdr:spPr>
          <a:xfrm>
            <a:off x="309" y="859"/>
            <a:ext cx="62" cy="59"/>
          </a:xfrm>
          <a:prstGeom prst="roundRect">
            <a:avLst/>
          </a:prstGeom>
          <a:noFill/>
          <a:ln w="19050" cmpd="sng">
            <a:solidFill>
              <a:srgbClr val="652D89"/>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Club Price</a:t>
            </a:r>
          </a:p>
        </xdr:txBody>
      </xdr:sp>
      <xdr:sp>
        <xdr:nvSpPr>
          <xdr:cNvPr id="3" name="AutoShape 1672"/>
          <xdr:cNvSpPr>
            <a:spLocks/>
          </xdr:cNvSpPr>
        </xdr:nvSpPr>
        <xdr:spPr>
          <a:xfrm>
            <a:off x="415" y="859"/>
            <a:ext cx="90" cy="59"/>
          </a:xfrm>
          <a:prstGeom prst="roundRect">
            <a:avLst/>
          </a:prstGeom>
          <a:noFill/>
          <a:ln w="19050" cmpd="sng">
            <a:solidFill>
              <a:srgbClr val="652D89"/>
            </a:solidFill>
            <a:headEnd type="none"/>
            <a:tailEnd type="none"/>
          </a:ln>
        </xdr:spPr>
        <xdr:txBody>
          <a:bodyPr vertOverflow="clip" wrap="square" lIns="36576" tIns="22860" rIns="36576" bIns="22860" anchor="ctr"/>
          <a:p>
            <a:pPr algn="ctr">
              <a:defRPr/>
            </a:pPr>
            <a:r>
              <a:rPr lang="en-US" cap="none" sz="900" b="0" i="0" u="none" baseline="0">
                <a:solidFill>
                  <a:srgbClr val="000000"/>
                </a:solidFill>
              </a:rPr>
              <a:t>2012 Member Discount</a:t>
            </a:r>
          </a:p>
        </xdr:txBody>
      </xdr:sp>
      <xdr:sp>
        <xdr:nvSpPr>
          <xdr:cNvPr id="4" name="AutoShape 1673"/>
          <xdr:cNvSpPr>
            <a:spLocks/>
          </xdr:cNvSpPr>
        </xdr:nvSpPr>
        <xdr:spPr>
          <a:xfrm>
            <a:off x="532" y="859"/>
            <a:ext cx="89" cy="59"/>
          </a:xfrm>
          <a:prstGeom prst="roundRect">
            <a:avLst/>
          </a:prstGeom>
          <a:noFill/>
          <a:ln w="19050" cmpd="sng">
            <a:solidFill>
              <a:srgbClr val="652D89"/>
            </a:solidFill>
            <a:headEnd type="none"/>
            <a:tailEnd type="none"/>
          </a:ln>
        </xdr:spPr>
        <xdr:txBody>
          <a:bodyPr vertOverflow="clip" wrap="square" lIns="36576" tIns="22860" rIns="36576" bIns="22860" anchor="ctr"/>
          <a:p>
            <a:pPr algn="ctr">
              <a:defRPr/>
            </a:pPr>
            <a:r>
              <a:rPr lang="en-US" cap="none" sz="900" b="0" i="0" u="none" baseline="0">
                <a:solidFill>
                  <a:srgbClr val="000000"/>
                </a:solidFill>
              </a:rPr>
              <a:t>Net price</a:t>
            </a:r>
          </a:p>
        </xdr:txBody>
      </xdr:sp>
    </xdr:grpSp>
    <xdr:clientData/>
  </xdr:twoCellAnchor>
  <xdr:twoCellAnchor editAs="oneCell">
    <xdr:from>
      <xdr:col>1</xdr:col>
      <xdr:colOff>85725</xdr:colOff>
      <xdr:row>1</xdr:row>
      <xdr:rowOff>104775</xdr:rowOff>
    </xdr:from>
    <xdr:to>
      <xdr:col>6</xdr:col>
      <xdr:colOff>238125</xdr:colOff>
      <xdr:row>1</xdr:row>
      <xdr:rowOff>495300</xdr:rowOff>
    </xdr:to>
    <xdr:pic>
      <xdr:nvPicPr>
        <xdr:cNvPr id="5" name="Picture 136" descr="Cipfa_public_cmyk"/>
        <xdr:cNvPicPr preferRelativeResize="1">
          <a:picLocks noChangeAspect="1"/>
        </xdr:cNvPicPr>
      </xdr:nvPicPr>
      <xdr:blipFill>
        <a:blip r:embed="rId1"/>
        <a:stretch>
          <a:fillRect/>
        </a:stretch>
      </xdr:blipFill>
      <xdr:spPr>
        <a:xfrm>
          <a:off x="200025" y="114300"/>
          <a:ext cx="1828800" cy="390525"/>
        </a:xfrm>
        <a:prstGeom prst="rect">
          <a:avLst/>
        </a:prstGeom>
        <a:noFill/>
        <a:ln w="9525" cmpd="sng">
          <a:noFill/>
        </a:ln>
      </xdr:spPr>
    </xdr:pic>
    <xdr:clientData/>
  </xdr:twoCellAnchor>
  <xdr:oneCellAnchor>
    <xdr:from>
      <xdr:col>11</xdr:col>
      <xdr:colOff>66675</xdr:colOff>
      <xdr:row>88</xdr:row>
      <xdr:rowOff>38100</xdr:rowOff>
    </xdr:from>
    <xdr:ext cx="1095375" cy="361950"/>
    <xdr:sp>
      <xdr:nvSpPr>
        <xdr:cNvPr id="6" name="AutoShape 131">
          <a:hlinkClick r:id="rId2"/>
        </xdr:cNvPr>
        <xdr:cNvSpPr>
          <a:spLocks/>
        </xdr:cNvSpPr>
      </xdr:nvSpPr>
      <xdr:spPr>
        <a:xfrm>
          <a:off x="4791075" y="16306800"/>
          <a:ext cx="1095375" cy="361950"/>
        </a:xfrm>
        <a:prstGeom prst="homePlate">
          <a:avLst>
            <a:gd name="adj" fmla="val 22800"/>
          </a:avLst>
        </a:prstGeom>
        <a:solidFill>
          <a:srgbClr val="D9B2D9">
            <a:alpha val="45000"/>
          </a:srgbClr>
        </a:solidFill>
        <a:ln w="15875" cmpd="sng">
          <a:solidFill>
            <a:srgbClr val="652D89"/>
          </a:solidFill>
          <a:headEnd type="none"/>
          <a:tailEnd type="none"/>
        </a:ln>
      </xdr:spPr>
      <xdr:txBody>
        <a:bodyPr vertOverflow="clip" wrap="square" lIns="36576" tIns="22860" rIns="36576" bIns="22860" anchor="ctr"/>
        <a:p>
          <a:pPr algn="ctr">
            <a:defRPr/>
          </a:pPr>
          <a:r>
            <a:rPr lang="en-US" cap="none" sz="1000" b="1" i="0" u="none" baseline="0">
              <a:solidFill>
                <a:srgbClr val="652D89"/>
              </a:solidFill>
            </a:rPr>
            <a:t>Contacts</a:t>
          </a:r>
        </a:p>
      </xdr:txBody>
    </xdr:sp>
    <xdr:clientData fPrintsWithSheet="0"/>
  </xdr:oneCellAnchor>
  <xdr:oneCellAnchor>
    <xdr:from>
      <xdr:col>11</xdr:col>
      <xdr:colOff>66675</xdr:colOff>
      <xdr:row>91</xdr:row>
      <xdr:rowOff>47625</xdr:rowOff>
    </xdr:from>
    <xdr:ext cx="1095375" cy="361950"/>
    <xdr:sp>
      <xdr:nvSpPr>
        <xdr:cNvPr id="7" name="AutoShape 130">
          <a:hlinkClick r:id="rId3"/>
        </xdr:cNvPr>
        <xdr:cNvSpPr>
          <a:spLocks/>
        </xdr:cNvSpPr>
      </xdr:nvSpPr>
      <xdr:spPr>
        <a:xfrm>
          <a:off x="4791075" y="16764000"/>
          <a:ext cx="1095375" cy="361950"/>
        </a:xfrm>
        <a:prstGeom prst="homePlate">
          <a:avLst>
            <a:gd name="adj" fmla="val 22944"/>
          </a:avLst>
        </a:prstGeom>
        <a:solidFill>
          <a:srgbClr val="D9B2D9">
            <a:alpha val="45000"/>
          </a:srgbClr>
        </a:solidFill>
        <a:ln w="15875" cmpd="sng">
          <a:solidFill>
            <a:srgbClr val="652D89"/>
          </a:solidFill>
          <a:headEnd type="none"/>
          <a:tailEnd type="none"/>
        </a:ln>
      </xdr:spPr>
      <xdr:txBody>
        <a:bodyPr vertOverflow="clip" wrap="square" lIns="36000" tIns="18000" rIns="36000" bIns="25200" anchor="ctr"/>
        <a:p>
          <a:pPr algn="ctr">
            <a:defRPr/>
          </a:pPr>
          <a:r>
            <a:rPr lang="en-US" cap="none" sz="1000" b="1" i="0" u="none" baseline="0">
              <a:solidFill>
                <a:srgbClr val="652D89"/>
              </a:solidFill>
            </a:rPr>
            <a:t>Terms &amp; Conditions</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1809750</xdr:colOff>
      <xdr:row>147</xdr:row>
      <xdr:rowOff>9525</xdr:rowOff>
    </xdr:from>
    <xdr:ext cx="1190625" cy="409575"/>
    <xdr:sp>
      <xdr:nvSpPr>
        <xdr:cNvPr id="1" name="AutoShape 97">
          <a:hlinkClick r:id="rId1"/>
        </xdr:cNvPr>
        <xdr:cNvSpPr>
          <a:spLocks/>
        </xdr:cNvSpPr>
      </xdr:nvSpPr>
      <xdr:spPr>
        <a:xfrm rot="10800000">
          <a:off x="2181225" y="27127200"/>
          <a:ext cx="1190625" cy="409575"/>
        </a:xfrm>
        <a:prstGeom prst="homePlate">
          <a:avLst>
            <a:gd name="adj" fmla="val 24444"/>
          </a:avLst>
        </a:prstGeom>
        <a:solidFill>
          <a:srgbClr val="D9B2D9">
            <a:alpha val="45000"/>
          </a:srgbClr>
        </a:solidFill>
        <a:ln w="15875" cmpd="sng">
          <a:solidFill>
            <a:srgbClr val="652D89"/>
          </a:solidFill>
          <a:headEnd type="none"/>
          <a:tailEnd type="none"/>
        </a:ln>
      </xdr:spPr>
      <xdr:txBody>
        <a:bodyPr vertOverflow="clip" wrap="square" lIns="36576" tIns="22860" rIns="36576" bIns="22860" anchor="ctr"/>
        <a:p>
          <a:pPr algn="ctr">
            <a:defRPr/>
          </a:pPr>
          <a:r>
            <a:rPr lang="en-US" cap="none" sz="1000" b="1" i="0" u="none" baseline="0">
              <a:solidFill>
                <a:srgbClr val="652D89"/>
              </a:solidFill>
            </a:rPr>
            <a:t>Membership</a:t>
          </a:r>
        </a:p>
      </xdr:txBody>
    </xdr:sp>
    <xdr:clientData fPrintsWithSheet="0"/>
  </xdr:oneCellAnchor>
  <xdr:oneCellAnchor>
    <xdr:from>
      <xdr:col>7</xdr:col>
      <xdr:colOff>361950</xdr:colOff>
      <xdr:row>147</xdr:row>
      <xdr:rowOff>9525</xdr:rowOff>
    </xdr:from>
    <xdr:ext cx="1190625" cy="409575"/>
    <xdr:sp>
      <xdr:nvSpPr>
        <xdr:cNvPr id="2" name="AutoShape 99">
          <a:hlinkClick r:id="rId2"/>
        </xdr:cNvPr>
        <xdr:cNvSpPr>
          <a:spLocks/>
        </xdr:cNvSpPr>
      </xdr:nvSpPr>
      <xdr:spPr>
        <a:xfrm>
          <a:off x="4562475" y="27127200"/>
          <a:ext cx="1190625" cy="409575"/>
        </a:xfrm>
        <a:prstGeom prst="homePlate">
          <a:avLst>
            <a:gd name="adj" fmla="val 24444"/>
          </a:avLst>
        </a:prstGeom>
        <a:solidFill>
          <a:srgbClr val="D9B2D9">
            <a:alpha val="45000"/>
          </a:srgbClr>
        </a:solidFill>
        <a:ln w="15875" cmpd="sng">
          <a:solidFill>
            <a:srgbClr val="652D89"/>
          </a:solidFill>
          <a:headEnd type="none"/>
          <a:tailEnd type="none"/>
        </a:ln>
      </xdr:spPr>
      <xdr:txBody>
        <a:bodyPr vertOverflow="clip" wrap="square" lIns="36576" tIns="22860" rIns="36576" bIns="22860" anchor="ctr"/>
        <a:p>
          <a:pPr algn="ctr">
            <a:defRPr/>
          </a:pPr>
          <a:r>
            <a:rPr lang="en-US" cap="none" sz="1000" b="1" i="0" u="none" baseline="0">
              <a:solidFill>
                <a:srgbClr val="652D89"/>
              </a:solidFill>
            </a:rPr>
            <a:t>Terms &amp; Conditions</a:t>
          </a:r>
        </a:p>
      </xdr:txBody>
    </xdr:sp>
    <xdr:clientData fPrintsWithSheet="0"/>
  </xdr:oneCellAnchor>
  <xdr:twoCellAnchor>
    <xdr:from>
      <xdr:col>5</xdr:col>
      <xdr:colOff>419100</xdr:colOff>
      <xdr:row>145</xdr:row>
      <xdr:rowOff>123825</xdr:rowOff>
    </xdr:from>
    <xdr:to>
      <xdr:col>7</xdr:col>
      <xdr:colOff>152400</xdr:colOff>
      <xdr:row>149</xdr:row>
      <xdr:rowOff>76200</xdr:rowOff>
    </xdr:to>
    <xdr:sp>
      <xdr:nvSpPr>
        <xdr:cNvPr id="3" name="AutoShape 293">
          <a:hlinkClick r:id="rId3"/>
        </xdr:cNvPr>
        <xdr:cNvSpPr>
          <a:spLocks/>
        </xdr:cNvSpPr>
      </xdr:nvSpPr>
      <xdr:spPr>
        <a:xfrm>
          <a:off x="3590925" y="26917650"/>
          <a:ext cx="762000" cy="600075"/>
        </a:xfrm>
        <a:prstGeom prst="upArrowCallout">
          <a:avLst/>
        </a:prstGeom>
        <a:solidFill>
          <a:srgbClr val="D9B2D9">
            <a:alpha val="35000"/>
          </a:srgbClr>
        </a:solidFill>
        <a:ln w="15875" cmpd="sng">
          <a:solidFill>
            <a:srgbClr val="652D89"/>
          </a:solidFill>
          <a:headEnd type="none"/>
          <a:tailEnd type="none"/>
        </a:ln>
      </xdr:spPr>
      <xdr:txBody>
        <a:bodyPr vertOverflow="clip" wrap="square" lIns="36000" tIns="36000" rIns="36000" bIns="36000" anchor="ctr"/>
        <a:p>
          <a:pPr algn="ctr">
            <a:defRPr/>
          </a:pPr>
          <a:r>
            <a:rPr lang="en-US" cap="none" sz="1000" b="1" i="0" u="none" baseline="0">
              <a:solidFill>
                <a:srgbClr val="652D89"/>
              </a:solidFill>
              <a:latin typeface="Arial"/>
              <a:ea typeface="Arial"/>
              <a:cs typeface="Arial"/>
            </a:rPr>
            <a:t>Back to top</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55</xdr:row>
      <xdr:rowOff>9525</xdr:rowOff>
    </xdr:from>
    <xdr:to>
      <xdr:col>4</xdr:col>
      <xdr:colOff>3657600</xdr:colOff>
      <xdr:row>55</xdr:row>
      <xdr:rowOff>504825</xdr:rowOff>
    </xdr:to>
    <xdr:grpSp>
      <xdr:nvGrpSpPr>
        <xdr:cNvPr id="1" name="Group 2232"/>
        <xdr:cNvGrpSpPr>
          <a:grpSpLocks/>
        </xdr:cNvGrpSpPr>
      </xdr:nvGrpSpPr>
      <xdr:grpSpPr>
        <a:xfrm>
          <a:off x="1838325" y="12506325"/>
          <a:ext cx="2847975" cy="495300"/>
          <a:chOff x="193" y="1313"/>
          <a:chExt cx="299" cy="52"/>
        </a:xfrm>
        <a:solidFill>
          <a:srgbClr val="FFFFFF"/>
        </a:solidFill>
      </xdr:grpSpPr>
      <xdr:sp>
        <xdr:nvSpPr>
          <xdr:cNvPr id="2" name="Rectangle 2"/>
          <xdr:cNvSpPr>
            <a:spLocks/>
          </xdr:cNvSpPr>
        </xdr:nvSpPr>
        <xdr:spPr>
          <a:xfrm>
            <a:off x="193" y="1313"/>
            <a:ext cx="299" cy="52"/>
          </a:xfrm>
          <a:prstGeom prst="rect">
            <a:avLst/>
          </a:prstGeom>
          <a:noFill/>
          <a:ln w="22225" cmpd="sng">
            <a:solidFill>
              <a:srgbClr val="652D8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a:hlinkClick r:id="rId1"/>
          </xdr:cNvPr>
          <xdr:cNvSpPr>
            <a:spLocks/>
          </xdr:cNvSpPr>
        </xdr:nvSpPr>
        <xdr:spPr>
          <a:xfrm rot="10800000">
            <a:off x="207" y="1320"/>
            <a:ext cx="123" cy="37"/>
          </a:xfrm>
          <a:prstGeom prst="homePlate">
            <a:avLst/>
          </a:prstGeom>
          <a:solidFill>
            <a:srgbClr val="D9B2D9">
              <a:alpha val="45000"/>
            </a:srgbClr>
          </a:solidFill>
          <a:ln w="15875" cmpd="sng">
            <a:solidFill>
              <a:srgbClr val="652D89"/>
            </a:solidFill>
            <a:headEnd type="none"/>
            <a:tailEnd type="none"/>
          </a:ln>
        </xdr:spPr>
        <xdr:txBody>
          <a:bodyPr vertOverflow="clip" wrap="square" lIns="36576" tIns="22860" rIns="36576" bIns="22860" anchor="ctr"/>
          <a:p>
            <a:pPr algn="ctr">
              <a:defRPr/>
            </a:pPr>
            <a:r>
              <a:rPr lang="en-US" cap="none" sz="1000" b="1" i="0" u="none" baseline="0">
                <a:solidFill>
                  <a:srgbClr val="652D89"/>
                </a:solidFill>
              </a:rPr>
              <a:t>Membership</a:t>
            </a:r>
          </a:p>
        </xdr:txBody>
      </xdr:sp>
      <xdr:sp>
        <xdr:nvSpPr>
          <xdr:cNvPr id="4" name="AutoShape 4">
            <a:hlinkClick r:id="rId2"/>
          </xdr:cNvPr>
          <xdr:cNvSpPr>
            <a:spLocks/>
          </xdr:cNvSpPr>
        </xdr:nvSpPr>
        <xdr:spPr>
          <a:xfrm rot="10800000">
            <a:off x="347" y="1320"/>
            <a:ext cx="123" cy="37"/>
          </a:xfrm>
          <a:prstGeom prst="homePlate">
            <a:avLst/>
          </a:prstGeom>
          <a:solidFill>
            <a:srgbClr val="D9B2D9">
              <a:alpha val="45000"/>
            </a:srgbClr>
          </a:solidFill>
          <a:ln w="15875" cmpd="sng">
            <a:solidFill>
              <a:srgbClr val="652D89"/>
            </a:solidFill>
            <a:headEnd type="none"/>
            <a:tailEnd type="none"/>
          </a:ln>
        </xdr:spPr>
        <xdr:txBody>
          <a:bodyPr vertOverflow="clip" wrap="square" lIns="36576" tIns="22860" rIns="36576" bIns="22860" anchor="ctr"/>
          <a:p>
            <a:pPr algn="ctr">
              <a:defRPr/>
            </a:pPr>
            <a:r>
              <a:rPr lang="en-US" cap="none" sz="1000" b="1" i="0" u="none" baseline="0">
                <a:solidFill>
                  <a:srgbClr val="652D89"/>
                </a:solidFill>
              </a:rPr>
              <a:t>Contacts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nchmarking@cipfa.org" TargetMode="External" /><Relationship Id="rId2" Type="http://schemas.openxmlformats.org/officeDocument/2006/relationships/hyperlink" Target="mailto:BMDirect@cipfa.org" TargetMode="External" /><Relationship Id="rId3" Type="http://schemas.openxmlformats.org/officeDocument/2006/relationships/hyperlink" Target="mailto:BMDirect@cipfa.org"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MDirect@ipf.co.uk" TargetMode="External" /><Relationship Id="rId2" Type="http://schemas.openxmlformats.org/officeDocument/2006/relationships/hyperlink" Target="mailto:BMDirect@cipfa.org"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8"/>
  </sheetPr>
  <dimension ref="A1:AA96"/>
  <sheetViews>
    <sheetView showGridLines="0" showRowColHeaders="0" tabSelected="1" zoomScalePageLayoutView="0" workbookViewId="0" topLeftCell="A1">
      <selection activeCell="A1" sqref="A1"/>
    </sheetView>
  </sheetViews>
  <sheetFormatPr defaultColWidth="7.7109375" defaultRowHeight="12.75"/>
  <cols>
    <col min="1" max="2" width="1.7109375" style="6" customWidth="1"/>
    <col min="3" max="4" width="4.140625" style="6" customWidth="1"/>
    <col min="5" max="6" width="7.57421875" style="6" customWidth="1"/>
    <col min="7" max="7" width="7.7109375" style="6" customWidth="1"/>
    <col min="8" max="8" width="7.57421875" style="6" customWidth="1"/>
    <col min="9" max="9" width="11.28125" style="17" customWidth="1"/>
    <col min="10" max="10" width="6.140625" style="6" customWidth="1"/>
    <col min="11" max="11" width="11.28125" style="6" customWidth="1"/>
    <col min="12" max="12" width="6.140625" style="6" customWidth="1"/>
    <col min="13" max="13" width="11.28125" style="6" customWidth="1"/>
    <col min="14" max="15" width="3.8515625" style="6" customWidth="1"/>
    <col min="16" max="16" width="1.1484375" style="6" customWidth="1"/>
    <col min="17" max="18" width="7.7109375" style="6" customWidth="1"/>
    <col min="19" max="19" width="9.57421875" style="9" hidden="1" customWidth="1"/>
    <col min="20" max="20" width="8.140625" style="9" hidden="1" customWidth="1"/>
    <col min="21" max="21" width="13.57421875" style="9" hidden="1" customWidth="1"/>
    <col min="22" max="22" width="7.7109375" style="9" hidden="1" customWidth="1"/>
    <col min="23" max="23" width="10.00390625" style="9" hidden="1" customWidth="1"/>
    <col min="24" max="24" width="9.28125" style="6" hidden="1" customWidth="1"/>
    <col min="25" max="25" width="19.421875" style="6" hidden="1" customWidth="1"/>
    <col min="26" max="26" width="10.57421875" style="6" hidden="1" customWidth="1"/>
    <col min="27" max="27" width="7.7109375" style="6" hidden="1" customWidth="1"/>
    <col min="28" max="28" width="7.7109375" style="6" customWidth="1"/>
    <col min="29" max="16384" width="7.7109375" style="6" customWidth="1"/>
  </cols>
  <sheetData>
    <row r="1" ht="0.75" customHeight="1">
      <c r="A1" s="138"/>
    </row>
    <row r="2" spans="2:21" ht="41.25" customHeight="1">
      <c r="B2" s="1"/>
      <c r="C2" s="2"/>
      <c r="D2" s="2"/>
      <c r="E2" s="3"/>
      <c r="F2" s="3"/>
      <c r="G2" s="3"/>
      <c r="H2" s="4"/>
      <c r="I2" s="5"/>
      <c r="K2" s="7"/>
      <c r="L2" s="7"/>
      <c r="M2" s="7"/>
      <c r="N2" s="8"/>
      <c r="O2" s="8"/>
      <c r="U2" s="9" t="s">
        <v>180</v>
      </c>
    </row>
    <row r="3" spans="3:23" s="10" customFormat="1" ht="3.75" customHeight="1">
      <c r="C3" s="11"/>
      <c r="D3" s="11"/>
      <c r="E3" s="12"/>
      <c r="F3" s="12"/>
      <c r="G3" s="12"/>
      <c r="H3" s="12"/>
      <c r="I3" s="13"/>
      <c r="J3" s="12"/>
      <c r="K3" s="12"/>
      <c r="L3" s="12"/>
      <c r="M3" s="12"/>
      <c r="N3" s="12"/>
      <c r="O3" s="12"/>
      <c r="S3" s="14"/>
      <c r="T3" s="15"/>
      <c r="U3" s="15"/>
      <c r="V3" s="15"/>
      <c r="W3" s="15"/>
    </row>
    <row r="4" spans="1:24" s="10" customFormat="1" ht="25.5" customHeight="1">
      <c r="A4" s="143"/>
      <c r="C4" s="143" t="str">
        <f>"Corporate Services Benchmarking "&amp;MemYear</f>
        <v>Corporate Services Benchmarking 2013</v>
      </c>
      <c r="D4" s="143"/>
      <c r="E4" s="12"/>
      <c r="F4" s="12"/>
      <c r="G4" s="12"/>
      <c r="H4" s="12"/>
      <c r="I4" s="13"/>
      <c r="J4" s="12"/>
      <c r="K4" s="12"/>
      <c r="L4" s="12"/>
      <c r="M4" s="12"/>
      <c r="N4" s="12"/>
      <c r="O4" s="12"/>
      <c r="S4" s="14"/>
      <c r="T4" s="24" t="s">
        <v>102</v>
      </c>
      <c r="U4" s="25">
        <f ca="1">NOW()</f>
        <v>41460.41183009259</v>
      </c>
      <c r="V4" s="9"/>
      <c r="W4" s="9"/>
      <c r="X4" s="363"/>
    </row>
    <row r="5" spans="2:24" ht="11.25" customHeight="1">
      <c r="B5" s="16"/>
      <c r="C5" s="16"/>
      <c r="D5" s="16"/>
      <c r="S5" s="18"/>
      <c r="T5" s="24" t="s">
        <v>101</v>
      </c>
      <c r="U5" s="28" t="str">
        <f>MemSort</f>
        <v>Please enter your organisation name</v>
      </c>
      <c r="X5" s="364"/>
    </row>
    <row r="6" spans="2:27" ht="12.75">
      <c r="B6" s="20" t="s">
        <v>1090</v>
      </c>
      <c r="C6" s="19"/>
      <c r="D6" s="19"/>
      <c r="E6" s="20"/>
      <c r="F6" s="20"/>
      <c r="G6" s="20"/>
      <c r="H6" s="20"/>
      <c r="I6" s="21"/>
      <c r="J6" s="20"/>
      <c r="K6" s="20"/>
      <c r="L6" s="20"/>
      <c r="M6" s="20"/>
      <c r="N6" s="20"/>
      <c r="O6" s="20"/>
      <c r="P6" s="20"/>
      <c r="Q6" s="335"/>
      <c r="R6" s="22"/>
      <c r="S6" s="23"/>
      <c r="T6" s="24" t="s">
        <v>187</v>
      </c>
      <c r="U6" s="29">
        <v>0</v>
      </c>
      <c r="Y6" s="270" t="s">
        <v>2088</v>
      </c>
      <c r="Z6" s="271" t="s">
        <v>2142</v>
      </c>
      <c r="AA6" s="272" t="s">
        <v>2142</v>
      </c>
    </row>
    <row r="7" spans="2:27" ht="12.75">
      <c r="B7" s="472" t="s">
        <v>1479</v>
      </c>
      <c r="C7" s="472"/>
      <c r="D7" s="472"/>
      <c r="E7" s="472"/>
      <c r="F7" s="472"/>
      <c r="G7" s="472"/>
      <c r="H7" s="472"/>
      <c r="I7" s="472"/>
      <c r="J7" s="472"/>
      <c r="K7" s="472"/>
      <c r="L7" s="472"/>
      <c r="M7" s="472"/>
      <c r="N7" s="472"/>
      <c r="O7" s="472"/>
      <c r="P7" s="472"/>
      <c r="R7" s="26"/>
      <c r="S7" s="27"/>
      <c r="T7" s="31" t="s">
        <v>2387</v>
      </c>
      <c r="U7" s="32">
        <f>G21</f>
        <v>0</v>
      </c>
      <c r="V7" s="298"/>
      <c r="Y7" s="273" t="s">
        <v>2127</v>
      </c>
      <c r="Z7" s="274" t="s">
        <v>2131</v>
      </c>
      <c r="AA7" s="272" t="s">
        <v>2131</v>
      </c>
    </row>
    <row r="8" spans="2:27" ht="14.25" customHeight="1">
      <c r="B8" s="20" t="s">
        <v>309</v>
      </c>
      <c r="C8" s="19"/>
      <c r="D8" s="19"/>
      <c r="E8" s="19"/>
      <c r="F8" s="20"/>
      <c r="G8" s="20"/>
      <c r="H8" s="20"/>
      <c r="I8" s="21"/>
      <c r="J8" s="20"/>
      <c r="K8" s="20"/>
      <c r="L8" s="20"/>
      <c r="M8" s="20"/>
      <c r="N8" s="20"/>
      <c r="O8" s="20"/>
      <c r="P8" s="20"/>
      <c r="R8" s="26"/>
      <c r="S8" s="27"/>
      <c r="T8" s="33" t="s">
        <v>388</v>
      </c>
      <c r="U8" s="28" t="str">
        <f>FLAS</f>
        <v>Code</v>
      </c>
      <c r="Y8" s="273" t="s">
        <v>2128</v>
      </c>
      <c r="Z8" s="274" t="s">
        <v>2132</v>
      </c>
      <c r="AA8" s="272" t="s">
        <v>2132</v>
      </c>
    </row>
    <row r="9" spans="2:27" ht="12.75">
      <c r="B9" s="20" t="s">
        <v>1269</v>
      </c>
      <c r="C9" s="19"/>
      <c r="D9" s="19"/>
      <c r="E9" s="19"/>
      <c r="F9" s="20"/>
      <c r="G9" s="20"/>
      <c r="H9" s="20"/>
      <c r="I9" s="21"/>
      <c r="J9" s="20"/>
      <c r="K9" s="20"/>
      <c r="L9" s="20"/>
      <c r="M9" s="20"/>
      <c r="N9" s="20"/>
      <c r="O9" s="20"/>
      <c r="P9" s="20"/>
      <c r="R9" s="26"/>
      <c r="S9" s="27"/>
      <c r="T9" s="33" t="s">
        <v>144</v>
      </c>
      <c r="U9" s="28" t="str">
        <f>G13</f>
        <v>Please enter your organisation name</v>
      </c>
      <c r="Y9" s="272" t="s">
        <v>2129</v>
      </c>
      <c r="Z9" s="272" t="s">
        <v>215</v>
      </c>
      <c r="AA9" s="272" t="s">
        <v>215</v>
      </c>
    </row>
    <row r="10" spans="2:27" ht="12.75">
      <c r="B10" s="20"/>
      <c r="C10" s="20"/>
      <c r="D10" s="20"/>
      <c r="E10" s="20" t="s">
        <v>1470</v>
      </c>
      <c r="F10" s="19"/>
      <c r="G10" s="19"/>
      <c r="H10" s="19"/>
      <c r="I10" s="19"/>
      <c r="J10" s="474" t="s">
        <v>1480</v>
      </c>
      <c r="K10" s="474"/>
      <c r="L10" s="474"/>
      <c r="M10" s="474"/>
      <c r="N10" s="20"/>
      <c r="O10" s="20"/>
      <c r="R10" s="26"/>
      <c r="S10" s="27"/>
      <c r="T10" s="33" t="s">
        <v>2471</v>
      </c>
      <c r="U10" s="28">
        <f>G14</f>
        <v>0</v>
      </c>
      <c r="Y10" s="281" t="s">
        <v>2141</v>
      </c>
      <c r="Z10" s="272" t="s">
        <v>2142</v>
      </c>
      <c r="AA10" s="272" t="s">
        <v>2142</v>
      </c>
    </row>
    <row r="11" spans="20:27" ht="12.75" customHeight="1" thickBot="1">
      <c r="T11" s="33" t="s">
        <v>2472</v>
      </c>
      <c r="U11" s="28">
        <f>G15</f>
        <v>0</v>
      </c>
      <c r="Y11" s="275" t="s">
        <v>1969</v>
      </c>
      <c r="Z11" s="275" t="s">
        <v>174</v>
      </c>
      <c r="AA11" s="275" t="s">
        <v>2132</v>
      </c>
    </row>
    <row r="12" spans="2:27" ht="22.5" customHeight="1" thickBot="1">
      <c r="B12" s="475" t="s">
        <v>172</v>
      </c>
      <c r="C12" s="476"/>
      <c r="D12" s="476"/>
      <c r="E12" s="476"/>
      <c r="F12" s="476"/>
      <c r="G12" s="476"/>
      <c r="H12" s="476"/>
      <c r="I12" s="476"/>
      <c r="J12" s="476"/>
      <c r="K12" s="476"/>
      <c r="L12" s="476"/>
      <c r="M12" s="476"/>
      <c r="N12" s="476"/>
      <c r="O12" s="477"/>
      <c r="S12" s="34"/>
      <c r="T12" s="33" t="s">
        <v>2473</v>
      </c>
      <c r="U12" s="28">
        <f>G16</f>
        <v>0</v>
      </c>
      <c r="Y12" s="275" t="s">
        <v>1967</v>
      </c>
      <c r="Z12" s="275" t="s">
        <v>2180</v>
      </c>
      <c r="AA12" s="275" t="s">
        <v>2132</v>
      </c>
    </row>
    <row r="13" spans="2:27" ht="36" customHeight="1" thickTop="1">
      <c r="B13" s="179"/>
      <c r="C13" s="58" t="s">
        <v>1946</v>
      </c>
      <c r="D13" s="58"/>
      <c r="E13" s="17"/>
      <c r="F13" s="17"/>
      <c r="G13" s="473" t="s">
        <v>394</v>
      </c>
      <c r="H13" s="473"/>
      <c r="I13" s="473"/>
      <c r="J13" s="473"/>
      <c r="K13" s="473"/>
      <c r="L13" s="473"/>
      <c r="M13" s="473"/>
      <c r="N13" s="39"/>
      <c r="O13" s="180"/>
      <c r="T13" s="33" t="s">
        <v>2474</v>
      </c>
      <c r="U13" s="28">
        <f>G17</f>
        <v>0</v>
      </c>
      <c r="Y13" s="275" t="s">
        <v>1897</v>
      </c>
      <c r="Z13" s="275" t="s">
        <v>189</v>
      </c>
      <c r="AA13" s="275" t="s">
        <v>215</v>
      </c>
    </row>
    <row r="14" spans="2:27" ht="15.75" customHeight="1">
      <c r="B14" s="179"/>
      <c r="C14" s="58" t="s">
        <v>2169</v>
      </c>
      <c r="D14" s="58"/>
      <c r="E14" s="17"/>
      <c r="F14" s="17"/>
      <c r="G14" s="456"/>
      <c r="H14" s="456"/>
      <c r="I14" s="456"/>
      <c r="J14" s="456"/>
      <c r="K14" s="456"/>
      <c r="L14" s="456"/>
      <c r="M14" s="456"/>
      <c r="N14" s="39"/>
      <c r="O14" s="180"/>
      <c r="T14" s="35" t="s">
        <v>1232</v>
      </c>
      <c r="U14" s="36">
        <f>I79</f>
        <v>0</v>
      </c>
      <c r="Y14" s="275" t="s">
        <v>2090</v>
      </c>
      <c r="Z14" s="275" t="s">
        <v>2272</v>
      </c>
      <c r="AA14" s="275" t="s">
        <v>2132</v>
      </c>
    </row>
    <row r="15" spans="2:27" ht="15.75" customHeight="1">
      <c r="B15" s="179"/>
      <c r="C15" s="58"/>
      <c r="D15" s="58"/>
      <c r="E15" s="17"/>
      <c r="F15" s="17"/>
      <c r="G15" s="456"/>
      <c r="H15" s="456"/>
      <c r="I15" s="456"/>
      <c r="J15" s="456"/>
      <c r="K15" s="456"/>
      <c r="L15" s="456"/>
      <c r="M15" s="456"/>
      <c r="N15" s="39"/>
      <c r="O15" s="180"/>
      <c r="T15" s="141" t="s">
        <v>1270</v>
      </c>
      <c r="U15" s="38">
        <f>IF(DateJ&gt;EndDate,0,-K79)</f>
        <v>0</v>
      </c>
      <c r="V15" s="33"/>
      <c r="Y15" s="275" t="s">
        <v>1968</v>
      </c>
      <c r="Z15" s="275" t="s">
        <v>1224</v>
      </c>
      <c r="AA15" s="275" t="s">
        <v>215</v>
      </c>
    </row>
    <row r="16" spans="2:27" ht="15.75" customHeight="1">
      <c r="B16" s="179"/>
      <c r="C16" s="148"/>
      <c r="D16" s="148"/>
      <c r="E16" s="17"/>
      <c r="F16" s="17"/>
      <c r="G16" s="456"/>
      <c r="H16" s="456"/>
      <c r="I16" s="456"/>
      <c r="J16" s="456"/>
      <c r="K16" s="456"/>
      <c r="L16" s="456"/>
      <c r="M16" s="456"/>
      <c r="N16" s="39"/>
      <c r="O16" s="180"/>
      <c r="T16" s="9" t="s">
        <v>2239</v>
      </c>
      <c r="U16" s="38">
        <f>-M80</f>
        <v>0</v>
      </c>
      <c r="Y16" s="275" t="s">
        <v>2089</v>
      </c>
      <c r="Z16" s="275" t="s">
        <v>2185</v>
      </c>
      <c r="AA16" s="275" t="s">
        <v>215</v>
      </c>
    </row>
    <row r="17" spans="2:27" ht="15.75" customHeight="1">
      <c r="B17" s="179"/>
      <c r="C17" s="58" t="s">
        <v>2170</v>
      </c>
      <c r="D17" s="58"/>
      <c r="E17" s="17"/>
      <c r="F17" s="17"/>
      <c r="G17" s="456"/>
      <c r="H17" s="456"/>
      <c r="I17" s="456"/>
      <c r="J17" s="149"/>
      <c r="K17" s="149"/>
      <c r="L17" s="149"/>
      <c r="M17" s="149"/>
      <c r="N17" s="39"/>
      <c r="O17" s="180"/>
      <c r="T17" s="140" t="s">
        <v>2240</v>
      </c>
      <c r="U17" s="41">
        <f>U14+U15+U16</f>
        <v>0</v>
      </c>
      <c r="W17" s="283" t="s">
        <v>2143</v>
      </c>
      <c r="Y17" s="275" t="s">
        <v>2020</v>
      </c>
      <c r="Z17" s="275" t="s">
        <v>2019</v>
      </c>
      <c r="AA17" s="275" t="s">
        <v>215</v>
      </c>
    </row>
    <row r="18" spans="2:27" ht="15.75" customHeight="1">
      <c r="B18" s="179"/>
      <c r="C18" s="119"/>
      <c r="D18" s="119"/>
      <c r="E18" s="17"/>
      <c r="F18" s="17"/>
      <c r="G18" s="17"/>
      <c r="H18" s="17"/>
      <c r="J18" s="39"/>
      <c r="K18" s="39"/>
      <c r="L18" s="39"/>
      <c r="M18" s="39"/>
      <c r="N18" s="39"/>
      <c r="O18" s="180"/>
      <c r="T18" s="9" t="s">
        <v>2195</v>
      </c>
      <c r="U18" s="282" t="str">
        <f>VLOOKUP(G19,TierRange,2,FALSE)</f>
        <v>x</v>
      </c>
      <c r="W18" s="282" t="str">
        <f>INDEX(TierRange,MATCH(G19,Y6:Y18,0),3)</f>
        <v>x</v>
      </c>
      <c r="Y18" s="303" t="s">
        <v>2388</v>
      </c>
      <c r="Z18" s="275" t="s">
        <v>2271</v>
      </c>
      <c r="AA18" s="275" t="s">
        <v>215</v>
      </c>
    </row>
    <row r="19" spans="2:21" ht="18" customHeight="1">
      <c r="B19" s="179"/>
      <c r="C19" s="276" t="s">
        <v>2091</v>
      </c>
      <c r="D19" s="276"/>
      <c r="E19" s="17"/>
      <c r="F19" s="17"/>
      <c r="G19" s="481" t="s">
        <v>2088</v>
      </c>
      <c r="H19" s="481"/>
      <c r="I19" s="481"/>
      <c r="J19" s="299"/>
      <c r="K19" s="299"/>
      <c r="L19" s="149"/>
      <c r="M19" s="149"/>
      <c r="N19" s="39"/>
      <c r="O19" s="180"/>
      <c r="T19" s="9" t="s">
        <v>192</v>
      </c>
      <c r="U19" s="251">
        <f>MemYear</f>
        <v>2013</v>
      </c>
    </row>
    <row r="20" spans="2:21" ht="8.25" customHeight="1">
      <c r="B20" s="179"/>
      <c r="C20" s="119"/>
      <c r="D20" s="119"/>
      <c r="E20" s="17"/>
      <c r="F20" s="17"/>
      <c r="G20" s="17"/>
      <c r="H20" s="17"/>
      <c r="J20" s="482" t="str">
        <f>IF(G21="","Please enter a Purchase Order number if your organisation requires it.","")</f>
        <v>Please enter a Purchase Order number if your organisation requires it.</v>
      </c>
      <c r="K20" s="482"/>
      <c r="L20" s="482"/>
      <c r="M20" s="482"/>
      <c r="N20" s="284"/>
      <c r="O20" s="180"/>
      <c r="T20" s="9" t="s">
        <v>2130</v>
      </c>
      <c r="U20" s="282">
        <f>DCode</f>
        <v>0</v>
      </c>
    </row>
    <row r="21" spans="2:26" ht="15.75" customHeight="1">
      <c r="B21" s="179"/>
      <c r="C21" s="58" t="s">
        <v>1683</v>
      </c>
      <c r="D21" s="58"/>
      <c r="E21" s="17"/>
      <c r="F21" s="17"/>
      <c r="G21" s="469"/>
      <c r="H21" s="469"/>
      <c r="I21" s="469"/>
      <c r="J21" s="482"/>
      <c r="K21" s="482"/>
      <c r="L21" s="482"/>
      <c r="M21" s="482"/>
      <c r="N21" s="309"/>
      <c r="O21" s="181"/>
      <c r="S21" s="6"/>
      <c r="T21" s="6" t="s">
        <v>1159</v>
      </c>
      <c r="U21" s="353" t="str">
        <f>VLOOKUP(1,V26:W31,2,FALSE)</f>
        <v>E</v>
      </c>
      <c r="X21" s="45" t="s">
        <v>2389</v>
      </c>
      <c r="Y21" s="6" t="e">
        <f>INDEX(TierRange,MATCH(TierRaw,Z6:Z18,0),1)</f>
        <v>#N/A</v>
      </c>
      <c r="Z21" s="6">
        <f>TierRaw</f>
        <v>0</v>
      </c>
    </row>
    <row r="22" spans="2:18" ht="4.5" customHeight="1">
      <c r="B22" s="179"/>
      <c r="C22" s="42"/>
      <c r="D22" s="42"/>
      <c r="E22" s="145"/>
      <c r="F22" s="145"/>
      <c r="G22" s="145"/>
      <c r="H22" s="145"/>
      <c r="I22" s="62"/>
      <c r="J22" s="44"/>
      <c r="K22" s="44"/>
      <c r="L22" s="145"/>
      <c r="M22" s="146"/>
      <c r="N22" s="145"/>
      <c r="O22" s="182"/>
      <c r="R22" s="45"/>
    </row>
    <row r="23" spans="2:21" ht="5.25" customHeight="1">
      <c r="B23" s="179"/>
      <c r="C23" s="46"/>
      <c r="D23" s="46"/>
      <c r="E23" s="147"/>
      <c r="F23" s="147"/>
      <c r="G23" s="300"/>
      <c r="H23" s="451"/>
      <c r="I23" s="451"/>
      <c r="J23" s="451"/>
      <c r="K23" s="451"/>
      <c r="L23" s="451"/>
      <c r="M23" s="451"/>
      <c r="N23" s="17"/>
      <c r="O23" s="183"/>
      <c r="U23" s="267"/>
    </row>
    <row r="24" spans="2:15" ht="8.25" customHeight="1" thickBot="1">
      <c r="B24" s="184"/>
      <c r="C24" s="185"/>
      <c r="D24" s="185"/>
      <c r="E24" s="186"/>
      <c r="F24" s="186"/>
      <c r="G24" s="187"/>
      <c r="H24" s="188"/>
      <c r="I24" s="310"/>
      <c r="J24" s="310"/>
      <c r="K24" s="310"/>
      <c r="L24" s="310"/>
      <c r="M24" s="310"/>
      <c r="N24" s="189"/>
      <c r="O24" s="190"/>
    </row>
    <row r="25" spans="3:8" ht="19.5" customHeight="1" thickBot="1">
      <c r="C25" s="46"/>
      <c r="D25" s="46"/>
      <c r="E25" s="47"/>
      <c r="F25" s="47"/>
      <c r="G25" s="37"/>
      <c r="H25" s="47"/>
    </row>
    <row r="26" spans="2:23" ht="22.5" customHeight="1">
      <c r="B26" s="475" t="s">
        <v>2304</v>
      </c>
      <c r="C26" s="476"/>
      <c r="D26" s="476"/>
      <c r="E26" s="476"/>
      <c r="F26" s="476"/>
      <c r="G26" s="476"/>
      <c r="H26" s="476"/>
      <c r="I26" s="476"/>
      <c r="J26" s="476"/>
      <c r="K26" s="476"/>
      <c r="L26" s="476"/>
      <c r="M26" s="476"/>
      <c r="N26" s="476"/>
      <c r="O26" s="477"/>
      <c r="U26" s="342" t="s">
        <v>1172</v>
      </c>
      <c r="V26" s="349">
        <f>(PrevSortSum&gt;0)*(Renew2=0)</f>
        <v>0</v>
      </c>
      <c r="W26" s="346" t="s">
        <v>1162</v>
      </c>
    </row>
    <row r="27" spans="2:23" ht="27" customHeight="1">
      <c r="B27" s="179"/>
      <c r="C27" s="151" t="s">
        <v>1155</v>
      </c>
      <c r="D27" s="151"/>
      <c r="E27" s="17"/>
      <c r="F27" s="151" t="s">
        <v>2244</v>
      </c>
      <c r="G27" s="17"/>
      <c r="H27" s="17"/>
      <c r="J27" s="152" t="s">
        <v>2245</v>
      </c>
      <c r="K27" s="37"/>
      <c r="L27" s="37"/>
      <c r="M27" s="37"/>
      <c r="N27" s="48"/>
      <c r="O27" s="191"/>
      <c r="S27" s="33"/>
      <c r="T27" s="49"/>
      <c r="U27" s="343" t="s">
        <v>1166</v>
      </c>
      <c r="V27" s="350">
        <f>(PrevSortSum&gt;0)*(PSVsum=PrevSortSum)*(PrevSortSum=Chosen)</f>
        <v>0</v>
      </c>
      <c r="W27" s="347" t="s">
        <v>1424</v>
      </c>
    </row>
    <row r="28" spans="2:23" ht="16.5" customHeight="1">
      <c r="B28" s="179"/>
      <c r="C28" s="470"/>
      <c r="D28" s="471"/>
      <c r="E28" s="17"/>
      <c r="F28" s="456"/>
      <c r="G28" s="456"/>
      <c r="H28" s="456"/>
      <c r="J28" s="456"/>
      <c r="K28" s="456"/>
      <c r="L28" s="456"/>
      <c r="M28" s="456"/>
      <c r="N28" s="17"/>
      <c r="O28" s="183"/>
      <c r="T28" s="33"/>
      <c r="U28" s="344" t="s">
        <v>1167</v>
      </c>
      <c r="V28" s="350">
        <f>(PrevSortSum&gt;0)*(Chosen&gt;0)*(V27=0)</f>
        <v>0</v>
      </c>
      <c r="W28" s="347" t="s">
        <v>1163</v>
      </c>
    </row>
    <row r="29" spans="2:23" ht="9" customHeight="1">
      <c r="B29" s="179"/>
      <c r="C29" s="17"/>
      <c r="D29" s="17"/>
      <c r="E29" s="17"/>
      <c r="F29" s="17"/>
      <c r="G29" s="17"/>
      <c r="H29" s="17"/>
      <c r="J29" s="17"/>
      <c r="K29" s="17"/>
      <c r="L29" s="17"/>
      <c r="M29" s="17"/>
      <c r="N29" s="17"/>
      <c r="O29" s="183"/>
      <c r="T29" s="33"/>
      <c r="U29" s="343" t="s">
        <v>1170</v>
      </c>
      <c r="V29" s="350">
        <f>(PrevSortSum=0)*(Chosen&gt;0)</f>
        <v>0</v>
      </c>
      <c r="W29" s="347" t="s">
        <v>1164</v>
      </c>
    </row>
    <row r="30" spans="2:23" ht="16.5" customHeight="1">
      <c r="B30" s="179"/>
      <c r="C30" s="151" t="s">
        <v>1865</v>
      </c>
      <c r="D30" s="151"/>
      <c r="E30" s="17"/>
      <c r="F30" s="456"/>
      <c r="G30" s="456"/>
      <c r="H30" s="456"/>
      <c r="I30" s="456"/>
      <c r="J30" s="456"/>
      <c r="K30" s="456"/>
      <c r="L30" s="456"/>
      <c r="M30" s="456"/>
      <c r="N30" s="48"/>
      <c r="O30" s="191"/>
      <c r="T30" s="33"/>
      <c r="U30" s="343" t="s">
        <v>1171</v>
      </c>
      <c r="V30" s="350">
        <f>(PrevSortSum=0)*(Renew2=0)</f>
        <v>0</v>
      </c>
      <c r="W30" s="350" t="s">
        <v>1157</v>
      </c>
    </row>
    <row r="31" spans="2:23" ht="16.5" customHeight="1">
      <c r="B31" s="179"/>
      <c r="C31" s="144" t="s">
        <v>2196</v>
      </c>
      <c r="D31" s="144"/>
      <c r="E31" s="17"/>
      <c r="F31" s="456"/>
      <c r="G31" s="456"/>
      <c r="H31" s="456"/>
      <c r="I31" s="456"/>
      <c r="J31" s="456"/>
      <c r="K31" s="456"/>
      <c r="L31" s="456"/>
      <c r="M31" s="456"/>
      <c r="N31" s="48"/>
      <c r="O31" s="191"/>
      <c r="T31" s="33"/>
      <c r="U31" s="345" t="s">
        <v>1168</v>
      </c>
      <c r="V31" s="351">
        <f>(Chosen=0)*(Renew2=1)</f>
        <v>1</v>
      </c>
      <c r="W31" s="348" t="s">
        <v>1165</v>
      </c>
    </row>
    <row r="32" spans="2:21" ht="16.5" customHeight="1">
      <c r="B32" s="179"/>
      <c r="C32" s="144" t="s">
        <v>2468</v>
      </c>
      <c r="D32" s="144"/>
      <c r="E32" s="17"/>
      <c r="F32" s="469"/>
      <c r="G32" s="469"/>
      <c r="H32" s="469"/>
      <c r="I32" s="469"/>
      <c r="J32" s="469"/>
      <c r="K32" s="469"/>
      <c r="L32" s="469"/>
      <c r="M32" s="469"/>
      <c r="N32" s="48"/>
      <c r="O32" s="191"/>
      <c r="T32" s="33"/>
      <c r="U32" s="50"/>
    </row>
    <row r="33" spans="2:21" ht="16.5" customHeight="1">
      <c r="B33" s="179"/>
      <c r="C33" s="144" t="s">
        <v>2171</v>
      </c>
      <c r="D33" s="144"/>
      <c r="E33" s="17"/>
      <c r="F33" s="455"/>
      <c r="G33" s="456"/>
      <c r="H33" s="456"/>
      <c r="I33" s="456"/>
      <c r="J33" s="456"/>
      <c r="K33" s="456"/>
      <c r="L33" s="456"/>
      <c r="M33" s="456"/>
      <c r="N33" s="17"/>
      <c r="O33" s="183"/>
      <c r="T33" s="33"/>
      <c r="U33" s="50"/>
    </row>
    <row r="34" spans="2:21" ht="8.25" customHeight="1">
      <c r="B34" s="179"/>
      <c r="C34" s="150"/>
      <c r="D34" s="150"/>
      <c r="E34" s="17"/>
      <c r="F34" s="17"/>
      <c r="G34" s="17"/>
      <c r="H34" s="17"/>
      <c r="J34" s="17"/>
      <c r="K34" s="17"/>
      <c r="L34" s="17"/>
      <c r="M34" s="17"/>
      <c r="N34" s="17"/>
      <c r="O34" s="183"/>
      <c r="T34" s="33"/>
      <c r="U34" s="50"/>
    </row>
    <row r="35" spans="2:21" ht="27.75" customHeight="1">
      <c r="B35" s="179"/>
      <c r="C35" s="457" t="s">
        <v>2136</v>
      </c>
      <c r="D35" s="457"/>
      <c r="E35" s="457"/>
      <c r="F35" s="457"/>
      <c r="G35" s="457"/>
      <c r="H35" s="457"/>
      <c r="I35" s="457"/>
      <c r="J35" s="457"/>
      <c r="K35" s="457"/>
      <c r="L35" s="457"/>
      <c r="M35" s="457"/>
      <c r="N35" s="457"/>
      <c r="O35" s="192"/>
      <c r="T35" s="33"/>
      <c r="U35" s="50"/>
    </row>
    <row r="36" spans="2:21" ht="4.5" customHeight="1" thickBot="1">
      <c r="B36" s="184"/>
      <c r="C36" s="193"/>
      <c r="D36" s="193"/>
      <c r="E36" s="193"/>
      <c r="F36" s="193"/>
      <c r="G36" s="193"/>
      <c r="H36" s="193"/>
      <c r="I36" s="193"/>
      <c r="J36" s="193"/>
      <c r="K36" s="193"/>
      <c r="L36" s="193"/>
      <c r="M36" s="193"/>
      <c r="N36" s="193"/>
      <c r="O36" s="194"/>
      <c r="T36" s="33"/>
      <c r="U36" s="50"/>
    </row>
    <row r="37" spans="3:20" ht="19.5" customHeight="1" thickBot="1">
      <c r="C37" s="51"/>
      <c r="D37" s="51"/>
      <c r="T37" s="33"/>
    </row>
    <row r="38" spans="2:15" ht="21.75" customHeight="1">
      <c r="B38" s="466" t="s">
        <v>1156</v>
      </c>
      <c r="C38" s="467"/>
      <c r="D38" s="467"/>
      <c r="E38" s="467"/>
      <c r="F38" s="467"/>
      <c r="G38" s="467"/>
      <c r="H38" s="467"/>
      <c r="I38" s="467"/>
      <c r="J38" s="467"/>
      <c r="K38" s="467"/>
      <c r="L38" s="467"/>
      <c r="M38" s="467"/>
      <c r="N38" s="467"/>
      <c r="O38" s="468"/>
    </row>
    <row r="39" spans="2:20" s="8" customFormat="1" ht="31.5" customHeight="1">
      <c r="B39" s="333"/>
      <c r="C39" s="452" t="s">
        <v>197</v>
      </c>
      <c r="D39" s="452"/>
      <c r="E39" s="452"/>
      <c r="F39" s="452"/>
      <c r="G39" s="452"/>
      <c r="H39" s="452"/>
      <c r="I39" s="452"/>
      <c r="J39" s="452"/>
      <c r="K39" s="452"/>
      <c r="L39" s="452"/>
      <c r="M39" s="452"/>
      <c r="N39" s="452"/>
      <c r="O39" s="334"/>
      <c r="S39" s="267"/>
      <c r="T39" s="267"/>
    </row>
    <row r="40" spans="2:23" ht="19.5" customHeight="1">
      <c r="B40" s="179"/>
      <c r="C40" s="458" t="str">
        <f>"31st January "&amp;MemYear&amp;"."</f>
        <v>31st January 2013.</v>
      </c>
      <c r="D40" s="458"/>
      <c r="E40" s="458"/>
      <c r="F40" s="458"/>
      <c r="G40" s="458"/>
      <c r="H40" s="458"/>
      <c r="I40" s="458"/>
      <c r="J40" s="458"/>
      <c r="K40" s="458"/>
      <c r="L40" s="458"/>
      <c r="M40" s="458"/>
      <c r="N40" s="458"/>
      <c r="O40" s="195"/>
      <c r="Q40" s="335"/>
      <c r="W40" s="9" t="s">
        <v>181</v>
      </c>
    </row>
    <row r="41" spans="2:15" ht="12.75" customHeight="1">
      <c r="B41" s="179"/>
      <c r="C41" s="460" t="str">
        <f>IF(Tier2="x","To display prices, please select your organisation type above","Please select the clubs you wish to join")</f>
        <v>To display prices, please select your organisation type above</v>
      </c>
      <c r="D41" s="460"/>
      <c r="E41" s="460"/>
      <c r="F41" s="460"/>
      <c r="G41" s="460"/>
      <c r="H41" s="460"/>
      <c r="J41" s="17"/>
      <c r="K41" s="17"/>
      <c r="L41" s="17"/>
      <c r="M41" s="17"/>
      <c r="N41" s="17"/>
      <c r="O41" s="183"/>
    </row>
    <row r="42" spans="2:26" ht="12.75">
      <c r="B42" s="179"/>
      <c r="C42" s="460"/>
      <c r="D42" s="460"/>
      <c r="E42" s="460"/>
      <c r="F42" s="460"/>
      <c r="G42" s="460"/>
      <c r="H42" s="460"/>
      <c r="J42" s="17"/>
      <c r="K42" s="17"/>
      <c r="L42" s="17"/>
      <c r="M42" s="17"/>
      <c r="N42" s="17"/>
      <c r="O42" s="183"/>
      <c r="S42" s="34"/>
      <c r="Y42" s="354" t="s">
        <v>1173</v>
      </c>
      <c r="Z42" s="352" t="s">
        <v>1169</v>
      </c>
    </row>
    <row r="43" spans="2:26" ht="18.75" customHeight="1">
      <c r="B43" s="179"/>
      <c r="C43" s="280" t="s">
        <v>308</v>
      </c>
      <c r="D43" s="280"/>
      <c r="E43" s="17"/>
      <c r="F43" s="17"/>
      <c r="G43" s="17"/>
      <c r="H43" s="153"/>
      <c r="J43" s="154"/>
      <c r="K43" s="17"/>
      <c r="L43" s="17"/>
      <c r="M43" s="17"/>
      <c r="N43" s="17"/>
      <c r="O43" s="183"/>
      <c r="S43" s="18"/>
      <c r="T43" s="18"/>
      <c r="U43" s="9" t="s">
        <v>1737</v>
      </c>
      <c r="V43" s="9" t="s">
        <v>2067</v>
      </c>
      <c r="Y43" s="362">
        <f>SUM(Y45:Y75)</f>
        <v>0</v>
      </c>
      <c r="Z43" s="362">
        <f>SUM(PrevSort)</f>
        <v>0</v>
      </c>
    </row>
    <row r="44" spans="2:25" ht="8.25" customHeight="1">
      <c r="B44" s="179"/>
      <c r="C44" s="280"/>
      <c r="D44" s="280"/>
      <c r="E44" s="17"/>
      <c r="F44" s="336"/>
      <c r="G44" s="17"/>
      <c r="H44" s="153"/>
      <c r="J44" s="154"/>
      <c r="K44" s="17"/>
      <c r="L44" s="17"/>
      <c r="M44" s="17"/>
      <c r="N44" s="17"/>
      <c r="O44" s="183"/>
      <c r="S44" s="18"/>
      <c r="T44" s="18"/>
      <c r="V44" s="331" t="b">
        <v>0</v>
      </c>
      <c r="W44" s="341" t="s">
        <v>183</v>
      </c>
      <c r="X44" s="338" t="s">
        <v>184</v>
      </c>
      <c r="Y44" s="340" t="s">
        <v>1160</v>
      </c>
    </row>
    <row r="45" spans="2:26" ht="16.5" customHeight="1">
      <c r="B45" s="179"/>
      <c r="C45" s="301"/>
      <c r="D45" s="366"/>
      <c r="E45" s="158" t="s">
        <v>2210</v>
      </c>
      <c r="F45" s="159"/>
      <c r="G45" s="159"/>
      <c r="H45" s="160"/>
      <c r="I45" s="161">
        <f>IF(Tier2="x",0,Price1)</f>
        <v>0</v>
      </c>
      <c r="J45" s="285">
        <f>IF(K45&lt;&gt;0,"-","")</f>
      </c>
      <c r="K45" s="162">
        <f>IF(AND(Prev1&lt;&gt;"NEW",Prev1&lt;&gt;0,Tier2&lt;&gt;"x"),PMDiscount,0)</f>
        <v>0</v>
      </c>
      <c r="L45" s="163"/>
      <c r="M45" s="162">
        <f>IF(Tier2="x",0,(I45-K45)*(Price1&gt;0))</f>
        <v>0</v>
      </c>
      <c r="N45" s="155"/>
      <c r="O45" s="196"/>
      <c r="R45" s="45"/>
      <c r="T45" s="55"/>
      <c r="U45" s="18">
        <f>Renew2*IF(CurM1=1,0,MAX(--V45,X45))</f>
        <v>0</v>
      </c>
      <c r="V45" s="30" t="b">
        <v>0</v>
      </c>
      <c r="W45" s="9" t="s">
        <v>1148</v>
      </c>
      <c r="X45" s="337">
        <f>PrevSort1*RenewAll</f>
        <v>0</v>
      </c>
      <c r="Y45" s="337">
        <f>PrevSort1*MemU1</f>
        <v>0</v>
      </c>
      <c r="Z45" s="339"/>
    </row>
    <row r="46" spans="2:26" ht="4.5" customHeight="1">
      <c r="B46" s="179"/>
      <c r="C46" s="136"/>
      <c r="D46" s="136"/>
      <c r="E46" s="159"/>
      <c r="F46" s="159"/>
      <c r="G46" s="159"/>
      <c r="H46" s="160"/>
      <c r="I46" s="159"/>
      <c r="J46" s="175"/>
      <c r="K46" s="161"/>
      <c r="L46" s="159"/>
      <c r="M46" s="159"/>
      <c r="N46" s="43"/>
      <c r="O46" s="197"/>
      <c r="U46" s="18"/>
      <c r="X46" s="337"/>
      <c r="Y46" s="337"/>
      <c r="Z46" s="337"/>
    </row>
    <row r="47" spans="2:26" ht="16.5" customHeight="1">
      <c r="B47" s="179"/>
      <c r="C47" s="301"/>
      <c r="D47" s="366"/>
      <c r="E47" s="164" t="s">
        <v>2146</v>
      </c>
      <c r="F47" s="159"/>
      <c r="G47" s="159"/>
      <c r="H47" s="160"/>
      <c r="I47" s="162">
        <f>IF(Tier2="x",0,Price2)</f>
        <v>0</v>
      </c>
      <c r="J47" s="285">
        <f>IF(K47&lt;&gt;0,"-","")</f>
      </c>
      <c r="K47" s="162">
        <f>IF(AND(Prev2&lt;&gt;"NEW",Prev2&lt;&gt;0,Tier2&lt;&gt;"x"),PMDiscount,0)</f>
        <v>0</v>
      </c>
      <c r="L47" s="177"/>
      <c r="M47" s="162">
        <f>IF(Tier2="x",0,(I47-K47)*(Price2&gt;0))</f>
        <v>0</v>
      </c>
      <c r="N47" s="155"/>
      <c r="O47" s="196"/>
      <c r="R47" s="45"/>
      <c r="T47" s="55"/>
      <c r="U47" s="18">
        <f>Renew2*IF(CurM2=1,0,MAX(--V47,X47))</f>
        <v>0</v>
      </c>
      <c r="V47" s="30" t="b">
        <v>0</v>
      </c>
      <c r="W47" s="9" t="s">
        <v>2146</v>
      </c>
      <c r="X47" s="337">
        <f>PrevSort2*RenewAll</f>
        <v>0</v>
      </c>
      <c r="Y47" s="337">
        <f>PrevSort2*MemU2</f>
        <v>0</v>
      </c>
      <c r="Z47" s="337"/>
    </row>
    <row r="48" spans="2:26" ht="4.5" customHeight="1">
      <c r="B48" s="179"/>
      <c r="C48" s="136"/>
      <c r="D48" s="136"/>
      <c r="E48" s="166"/>
      <c r="F48" s="166"/>
      <c r="G48" s="166"/>
      <c r="H48" s="160"/>
      <c r="I48" s="166"/>
      <c r="J48" s="175"/>
      <c r="K48" s="167"/>
      <c r="L48" s="166"/>
      <c r="M48" s="166"/>
      <c r="N48" s="42"/>
      <c r="O48" s="198"/>
      <c r="U48" s="18"/>
      <c r="X48" s="337"/>
      <c r="Y48" s="337"/>
      <c r="Z48" s="337"/>
    </row>
    <row r="49" spans="2:26" ht="16.5" customHeight="1">
      <c r="B49" s="179"/>
      <c r="C49" s="368"/>
      <c r="D49" s="367"/>
      <c r="E49" s="158" t="s">
        <v>2455</v>
      </c>
      <c r="F49" s="159"/>
      <c r="G49" s="159"/>
      <c r="H49" s="160"/>
      <c r="I49" s="161">
        <f>IF(Tier2="x",0,Price3)</f>
        <v>0</v>
      </c>
      <c r="J49" s="285">
        <f>IF(K49&lt;&gt;0,"-","")</f>
      </c>
      <c r="K49" s="162">
        <f>IF(AND(Prev3&lt;&gt;"NEW",Prev3&lt;&gt;0,Tier2&lt;&gt;"x"),PMDiscount,0)</f>
        <v>0</v>
      </c>
      <c r="L49" s="165"/>
      <c r="M49" s="162">
        <f>IF(Tier2="x",0,(I49-K49)*(Price3&gt;0))</f>
        <v>0</v>
      </c>
      <c r="N49" s="155"/>
      <c r="O49" s="196"/>
      <c r="R49" s="45"/>
      <c r="T49" s="55"/>
      <c r="U49" s="18">
        <f>Renew2*IF(CurM3=1,0,MAX(--V49,X49))</f>
        <v>0</v>
      </c>
      <c r="V49" s="30" t="b">
        <v>0</v>
      </c>
      <c r="W49" s="9" t="s">
        <v>2455</v>
      </c>
      <c r="X49" s="337">
        <f>PrevSort3*RenewAll</f>
        <v>0</v>
      </c>
      <c r="Y49" s="337">
        <f>PrevSort3*MemU3</f>
        <v>0</v>
      </c>
      <c r="Z49" s="337"/>
    </row>
    <row r="50" spans="2:26" ht="4.5" customHeight="1">
      <c r="B50" s="179"/>
      <c r="C50" s="136"/>
      <c r="D50" s="136"/>
      <c r="E50" s="159"/>
      <c r="F50" s="159"/>
      <c r="G50" s="159"/>
      <c r="H50" s="160"/>
      <c r="I50" s="159"/>
      <c r="J50" s="175"/>
      <c r="K50" s="167"/>
      <c r="L50" s="159"/>
      <c r="M50" s="159"/>
      <c r="N50" s="43"/>
      <c r="O50" s="197"/>
      <c r="U50" s="18"/>
      <c r="X50" s="337"/>
      <c r="Y50" s="337"/>
      <c r="Z50" s="337"/>
    </row>
    <row r="51" spans="2:26" ht="16.5" customHeight="1">
      <c r="B51" s="179"/>
      <c r="C51" s="301"/>
      <c r="D51" s="366"/>
      <c r="E51" s="164" t="s">
        <v>2151</v>
      </c>
      <c r="F51" s="159"/>
      <c r="G51" s="159"/>
      <c r="H51" s="160"/>
      <c r="I51" s="161">
        <f>IF(Tier2="x",0,Price4)</f>
        <v>0</v>
      </c>
      <c r="J51" s="285">
        <f>IF(K51&lt;&gt;0,"-","")</f>
      </c>
      <c r="K51" s="162">
        <f>IF(AND(Prev4&lt;&gt;"NEW",Prev4&lt;&gt;0,Tier2&lt;&gt;"x"),PMDiscount,0)</f>
        <v>0</v>
      </c>
      <c r="L51" s="165"/>
      <c r="M51" s="162">
        <f>IF(Tier2="x",0,(I51-K51)*(Price4&gt;0))</f>
        <v>0</v>
      </c>
      <c r="N51" s="155"/>
      <c r="O51" s="196"/>
      <c r="R51" s="45"/>
      <c r="T51" s="55"/>
      <c r="U51" s="18">
        <f>Renew2*IF(OR(CurM4=1,Tier2="c"),0,MAX(--V51,X51))</f>
        <v>0</v>
      </c>
      <c r="V51" s="30" t="b">
        <v>0</v>
      </c>
      <c r="W51" s="9" t="s">
        <v>123</v>
      </c>
      <c r="X51" s="337">
        <f>PrevSort4*RenewAll</f>
        <v>0</v>
      </c>
      <c r="Y51" s="337">
        <f>PrevSort4*MemU4</f>
        <v>0</v>
      </c>
      <c r="Z51" s="337"/>
    </row>
    <row r="52" spans="2:26" ht="4.5" customHeight="1">
      <c r="B52" s="179"/>
      <c r="C52" s="136"/>
      <c r="D52" s="136"/>
      <c r="E52" s="159"/>
      <c r="F52" s="159"/>
      <c r="G52" s="159"/>
      <c r="H52" s="160"/>
      <c r="I52" s="159"/>
      <c r="J52" s="175"/>
      <c r="K52" s="167"/>
      <c r="L52" s="159"/>
      <c r="M52" s="159"/>
      <c r="N52" s="43"/>
      <c r="O52" s="197"/>
      <c r="U52" s="18"/>
      <c r="X52" s="337"/>
      <c r="Y52" s="337"/>
      <c r="Z52" s="337"/>
    </row>
    <row r="53" spans="2:26" ht="16.5" customHeight="1">
      <c r="B53" s="179"/>
      <c r="C53" s="301"/>
      <c r="D53" s="366"/>
      <c r="E53" s="164" t="s">
        <v>1442</v>
      </c>
      <c r="F53" s="159"/>
      <c r="G53" s="159"/>
      <c r="H53" s="160"/>
      <c r="I53" s="161">
        <f>IF(Tier2="x",0,Price5)</f>
        <v>0</v>
      </c>
      <c r="J53" s="285">
        <f>IF(K53&lt;&gt;0,"-","")</f>
      </c>
      <c r="K53" s="162">
        <f>IF(AND(Prev5&lt;&gt;"NEW",Prev5&lt;&gt;0,Tier2&lt;&gt;"x"),PMDiscount,0)</f>
        <v>0</v>
      </c>
      <c r="L53" s="165"/>
      <c r="M53" s="162">
        <f>IF(Tier2="x",0,(I53-K53)*(Price5&gt;0))</f>
        <v>0</v>
      </c>
      <c r="N53" s="155"/>
      <c r="O53" s="196"/>
      <c r="R53" s="45"/>
      <c r="T53" s="55"/>
      <c r="U53" s="18">
        <f>Renew2*IF(OR(CurM5=1,Tier2="c"),0,MAX(--V53,X53))</f>
        <v>0</v>
      </c>
      <c r="V53" s="30" t="b">
        <v>0</v>
      </c>
      <c r="W53" s="9" t="s">
        <v>206</v>
      </c>
      <c r="X53" s="337">
        <f>PrevSort5*RenewAll</f>
        <v>0</v>
      </c>
      <c r="Y53" s="337">
        <f>PrevSort5*MemU5</f>
        <v>0</v>
      </c>
      <c r="Z53" s="337"/>
    </row>
    <row r="54" spans="2:26" ht="4.5" customHeight="1">
      <c r="B54" s="179"/>
      <c r="C54" s="136"/>
      <c r="D54" s="136"/>
      <c r="E54" s="159"/>
      <c r="F54" s="159"/>
      <c r="G54" s="159"/>
      <c r="H54" s="160"/>
      <c r="I54" s="159"/>
      <c r="J54" s="175"/>
      <c r="K54" s="167"/>
      <c r="L54" s="159"/>
      <c r="M54" s="159"/>
      <c r="N54" s="43"/>
      <c r="O54" s="197"/>
      <c r="U54" s="18"/>
      <c r="X54" s="337"/>
      <c r="Y54" s="337"/>
      <c r="Z54" s="337"/>
    </row>
    <row r="55" spans="2:26" ht="16.5" customHeight="1">
      <c r="B55" s="179"/>
      <c r="C55" s="301"/>
      <c r="D55" s="366"/>
      <c r="E55" s="158" t="s">
        <v>35</v>
      </c>
      <c r="F55" s="159"/>
      <c r="G55" s="159"/>
      <c r="H55" s="160"/>
      <c r="I55" s="161">
        <f>IF(Tier2="x",0,Price6)</f>
        <v>0</v>
      </c>
      <c r="J55" s="285">
        <f>IF(K55&lt;&gt;0,"-","")</f>
      </c>
      <c r="K55" s="162">
        <f>IF(AND(Prev6&lt;&gt;"NEW",Prev6&lt;&gt;0,Tier2&lt;&gt;"x"),PMDiscount,0)</f>
        <v>0</v>
      </c>
      <c r="L55" s="165"/>
      <c r="M55" s="162">
        <f>IF(Tier2="x",0,(I55-K55)*(Price6&gt;0))</f>
        <v>0</v>
      </c>
      <c r="N55" s="155"/>
      <c r="O55" s="196"/>
      <c r="R55" s="45"/>
      <c r="S55" s="55"/>
      <c r="T55" s="55"/>
      <c r="U55" s="18">
        <f>Renew2*IF(CurM6=1,0,MAX(--V55,X55))</f>
        <v>0</v>
      </c>
      <c r="V55" s="30" t="b">
        <v>0</v>
      </c>
      <c r="W55" s="9" t="s">
        <v>2312</v>
      </c>
      <c r="X55" s="337">
        <f>PrevSort6*RenewAll</f>
        <v>0</v>
      </c>
      <c r="Y55" s="337">
        <f>PrevSort6*MemU6</f>
        <v>0</v>
      </c>
      <c r="Z55" s="337"/>
    </row>
    <row r="56" spans="2:26" ht="4.5" customHeight="1">
      <c r="B56" s="179"/>
      <c r="C56" s="136"/>
      <c r="D56" s="136"/>
      <c r="E56" s="168"/>
      <c r="F56" s="168"/>
      <c r="G56" s="168"/>
      <c r="H56" s="160"/>
      <c r="I56" s="168"/>
      <c r="J56" s="286"/>
      <c r="K56" s="167"/>
      <c r="L56" s="168"/>
      <c r="M56" s="168"/>
      <c r="N56" s="145"/>
      <c r="O56" s="182"/>
      <c r="U56" s="18"/>
      <c r="X56" s="337"/>
      <c r="Y56" s="337"/>
      <c r="Z56" s="337"/>
    </row>
    <row r="57" spans="2:26" ht="16.5" customHeight="1">
      <c r="B57" s="179"/>
      <c r="C57" s="301"/>
      <c r="D57" s="366"/>
      <c r="E57" s="158" t="s">
        <v>1612</v>
      </c>
      <c r="F57" s="165"/>
      <c r="G57" s="165"/>
      <c r="H57" s="160"/>
      <c r="I57" s="161">
        <f>IF(Tier2="x",0,Price7)</f>
        <v>0</v>
      </c>
      <c r="J57" s="285">
        <f>IF(K57&lt;&gt;0,"-","")</f>
      </c>
      <c r="K57" s="162">
        <f>IF(AND(Prev7&lt;&gt;"NEW",Prev7&lt;&gt;0,Tier2&lt;&gt;"x"),PMDiscount,0)</f>
        <v>0</v>
      </c>
      <c r="L57" s="160"/>
      <c r="M57" s="162">
        <f>IF(Tier2="x",0,(I57-K57)*(Price7&gt;0))</f>
        <v>0</v>
      </c>
      <c r="N57" s="17"/>
      <c r="O57" s="183"/>
      <c r="R57" s="45"/>
      <c r="T57" s="55"/>
      <c r="U57" s="18">
        <f>Renew2*IF(CurM7=1,0,MAX(--V57,X57))</f>
        <v>0</v>
      </c>
      <c r="V57" s="30" t="b">
        <v>0</v>
      </c>
      <c r="W57" s="9" t="s">
        <v>201</v>
      </c>
      <c r="X57" s="337">
        <f>PrevSort7*RenewAll</f>
        <v>0</v>
      </c>
      <c r="Y57" s="337">
        <f>PrevSort7*MemU7</f>
        <v>0</v>
      </c>
      <c r="Z57" s="337"/>
    </row>
    <row r="58" spans="2:26" ht="4.5" customHeight="1">
      <c r="B58" s="179"/>
      <c r="C58" s="136"/>
      <c r="D58" s="136"/>
      <c r="E58" s="159"/>
      <c r="F58" s="159"/>
      <c r="G58" s="159"/>
      <c r="H58" s="160"/>
      <c r="I58" s="159"/>
      <c r="J58" s="175"/>
      <c r="K58" s="167"/>
      <c r="L58" s="159"/>
      <c r="M58" s="159"/>
      <c r="N58" s="43"/>
      <c r="O58" s="197"/>
      <c r="U58" s="18"/>
      <c r="V58" s="33"/>
      <c r="X58" s="337"/>
      <c r="Y58" s="337"/>
      <c r="Z58" s="337"/>
    </row>
    <row r="59" spans="2:26" ht="16.5" customHeight="1">
      <c r="B59" s="179"/>
      <c r="C59" s="301"/>
      <c r="D59" s="366"/>
      <c r="E59" s="164" t="s">
        <v>1186</v>
      </c>
      <c r="F59" s="165"/>
      <c r="G59" s="165"/>
      <c r="H59" s="160"/>
      <c r="I59" s="162">
        <f>IF(Tier2="x",0,Price8)</f>
        <v>0</v>
      </c>
      <c r="J59" s="285">
        <f>IF(K59&lt;&gt;0,"-","")</f>
      </c>
      <c r="K59" s="162">
        <f>IF(AND(Prev8&lt;&gt;"NEW",Prev8&lt;&gt;0,Tier2&lt;&gt;"x"),PMDiscount,0)</f>
        <v>0</v>
      </c>
      <c r="L59" s="160"/>
      <c r="M59" s="162">
        <f>IF(Tier2="x",0,(I59-K59)*(Price8&gt;0))</f>
        <v>0</v>
      </c>
      <c r="N59" s="17"/>
      <c r="O59" s="183"/>
      <c r="R59" s="45"/>
      <c r="T59" s="55"/>
      <c r="U59" s="18">
        <f>Renew2*IF(CurM8=1,0,MAX(--V59,X59))</f>
        <v>0</v>
      </c>
      <c r="V59" s="30" t="b">
        <v>0</v>
      </c>
      <c r="W59" s="9" t="s">
        <v>1753</v>
      </c>
      <c r="X59" s="337">
        <f>PrevSort8*RenewAll</f>
        <v>0</v>
      </c>
      <c r="Y59" s="337">
        <f>PrevSort8*MemU8</f>
        <v>0</v>
      </c>
      <c r="Z59" s="337"/>
    </row>
    <row r="60" spans="2:26" ht="4.5" customHeight="1">
      <c r="B60" s="179"/>
      <c r="C60" s="136"/>
      <c r="D60" s="136"/>
      <c r="E60" s="166"/>
      <c r="F60" s="166"/>
      <c r="G60" s="166"/>
      <c r="H60" s="160"/>
      <c r="I60" s="166"/>
      <c r="J60" s="175"/>
      <c r="K60" s="167"/>
      <c r="L60" s="160"/>
      <c r="M60" s="166"/>
      <c r="N60" s="17"/>
      <c r="O60" s="183"/>
      <c r="R60" s="45"/>
      <c r="T60" s="55"/>
      <c r="U60" s="18"/>
      <c r="V60" s="33"/>
      <c r="X60" s="337"/>
      <c r="Y60" s="337"/>
      <c r="Z60" s="337"/>
    </row>
    <row r="61" spans="2:26" ht="16.5" customHeight="1">
      <c r="B61" s="179"/>
      <c r="C61" s="301"/>
      <c r="D61" s="366"/>
      <c r="E61" s="164" t="s">
        <v>2148</v>
      </c>
      <c r="F61" s="165"/>
      <c r="G61" s="165"/>
      <c r="H61" s="160"/>
      <c r="I61" s="162">
        <f>IF(Tier2="x",0,Price9)</f>
        <v>0</v>
      </c>
      <c r="J61" s="285">
        <f>IF(K61&lt;&gt;0,"-","")</f>
      </c>
      <c r="K61" s="162">
        <f>IF(AND(Prev9&lt;&gt;"NEW",Prev9&lt;&gt;0,Tier2&lt;&gt;"x"),PMDiscount,0)</f>
        <v>0</v>
      </c>
      <c r="L61" s="160"/>
      <c r="M61" s="162">
        <f>IF(Tier2="x",0,(I61-K61)*(Price9&gt;0))</f>
        <v>0</v>
      </c>
      <c r="N61" s="17"/>
      <c r="O61" s="183"/>
      <c r="R61" s="45"/>
      <c r="T61" s="55"/>
      <c r="U61" s="18">
        <f>Renew2*IF(CurM9=1,0,MAX(--V61,X61))</f>
        <v>0</v>
      </c>
      <c r="V61" s="30" t="b">
        <v>0</v>
      </c>
      <c r="W61" s="9" t="s">
        <v>1665</v>
      </c>
      <c r="X61" s="337">
        <f>PrevSort9*RenewAll</f>
        <v>0</v>
      </c>
      <c r="Y61" s="337">
        <f>PrevSort9*MemU9</f>
        <v>0</v>
      </c>
      <c r="Z61" s="337"/>
    </row>
    <row r="62" spans="2:26" ht="4.5" customHeight="1">
      <c r="B62" s="179"/>
      <c r="C62" s="136"/>
      <c r="D62" s="136"/>
      <c r="E62" s="159"/>
      <c r="F62" s="159"/>
      <c r="G62" s="159"/>
      <c r="H62" s="160"/>
      <c r="I62" s="159"/>
      <c r="J62" s="175"/>
      <c r="K62" s="167"/>
      <c r="L62" s="160"/>
      <c r="M62" s="159"/>
      <c r="N62" s="17"/>
      <c r="O62" s="183"/>
      <c r="R62" s="45"/>
      <c r="T62" s="55"/>
      <c r="U62" s="18"/>
      <c r="V62" s="33"/>
      <c r="X62" s="337"/>
      <c r="Y62" s="337"/>
      <c r="Z62" s="337"/>
    </row>
    <row r="63" spans="2:26" ht="16.5" customHeight="1">
      <c r="B63" s="179"/>
      <c r="C63" s="301"/>
      <c r="D63" s="366"/>
      <c r="E63" s="164" t="s">
        <v>2150</v>
      </c>
      <c r="F63" s="165"/>
      <c r="G63" s="165"/>
      <c r="H63" s="160"/>
      <c r="I63" s="162">
        <f>IF(Tier2="x",0,Price10)</f>
        <v>0</v>
      </c>
      <c r="J63" s="285">
        <f>IF(K63&lt;&gt;0,"-","")</f>
      </c>
      <c r="K63" s="162">
        <f>IF(AND(Prev10&lt;&gt;"NEW",Prev10&lt;&gt;0,Tier2&lt;&gt;"x"),PMDiscount,0)</f>
        <v>0</v>
      </c>
      <c r="L63" s="160"/>
      <c r="M63" s="162">
        <f>IF(Tier2="x",0,(I63-K63)*(Price10&gt;0))</f>
        <v>0</v>
      </c>
      <c r="N63" s="17"/>
      <c r="O63" s="183"/>
      <c r="R63" s="45"/>
      <c r="T63" s="55"/>
      <c r="U63" s="18">
        <f>Renew2*IF(CurM10=1,0,MAX(--V63,X63))</f>
        <v>0</v>
      </c>
      <c r="V63" s="30" t="b">
        <v>0</v>
      </c>
      <c r="W63" s="9" t="s">
        <v>2150</v>
      </c>
      <c r="X63" s="337">
        <f>PrevSort10*RenewAll</f>
        <v>0</v>
      </c>
      <c r="Y63" s="337">
        <f>PrevSort10*MemU10</f>
        <v>0</v>
      </c>
      <c r="Z63" s="337"/>
    </row>
    <row r="64" spans="2:26" ht="4.5" customHeight="1">
      <c r="B64" s="179"/>
      <c r="C64" s="137"/>
      <c r="D64" s="137"/>
      <c r="E64" s="159"/>
      <c r="F64" s="159"/>
      <c r="G64" s="159"/>
      <c r="H64" s="160"/>
      <c r="I64" s="159"/>
      <c r="J64" s="175"/>
      <c r="K64" s="167"/>
      <c r="L64" s="160"/>
      <c r="M64" s="159"/>
      <c r="N64" s="17"/>
      <c r="O64" s="183"/>
      <c r="R64" s="45"/>
      <c r="T64" s="55"/>
      <c r="U64" s="18"/>
      <c r="V64" s="33"/>
      <c r="X64" s="337"/>
      <c r="Y64" s="337"/>
      <c r="Z64" s="337"/>
    </row>
    <row r="65" spans="2:26" ht="16.5" customHeight="1">
      <c r="B65" s="179"/>
      <c r="C65" s="301"/>
      <c r="D65" s="366"/>
      <c r="E65" s="164" t="s">
        <v>2313</v>
      </c>
      <c r="F65" s="165"/>
      <c r="G65" s="165"/>
      <c r="H65" s="160"/>
      <c r="I65" s="162">
        <f>IF(Tier2="x",0,Price11)</f>
        <v>0</v>
      </c>
      <c r="J65" s="285">
        <f>IF(K65&lt;&gt;0,"-","")</f>
      </c>
      <c r="K65" s="162">
        <f>IF(AND(Prev11&lt;&gt;"NEW",Prev11&lt;&gt;0,Tier2&lt;&gt;"x"),PMDiscount,0)</f>
        <v>0</v>
      </c>
      <c r="L65" s="224"/>
      <c r="M65" s="162">
        <f>IF(Tier2="x",0,(I65-K65)*(Price11&gt;0))</f>
        <v>0</v>
      </c>
      <c r="N65" s="17"/>
      <c r="O65" s="183"/>
      <c r="R65" s="133"/>
      <c r="T65" s="55"/>
      <c r="U65" s="18">
        <f>Renew2*IF(CurM11=1,0,MAX(--V65,X65))</f>
        <v>0</v>
      </c>
      <c r="V65" s="30" t="b">
        <v>0</v>
      </c>
      <c r="W65" s="9" t="s">
        <v>1468</v>
      </c>
      <c r="X65" s="337">
        <f>PrevSort11*RenewAll</f>
        <v>0</v>
      </c>
      <c r="Y65" s="337">
        <f>PrevSort11*MemU11</f>
        <v>0</v>
      </c>
      <c r="Z65" s="337"/>
    </row>
    <row r="66" spans="2:26" ht="4.5" customHeight="1">
      <c r="B66" s="179"/>
      <c r="C66" s="137"/>
      <c r="D66" s="137"/>
      <c r="E66" s="159"/>
      <c r="F66" s="159"/>
      <c r="G66" s="159"/>
      <c r="H66" s="160"/>
      <c r="I66" s="159"/>
      <c r="J66" s="175"/>
      <c r="K66" s="167"/>
      <c r="L66" s="160"/>
      <c r="M66" s="159"/>
      <c r="N66" s="17"/>
      <c r="O66" s="183"/>
      <c r="R66" s="45"/>
      <c r="T66" s="55"/>
      <c r="U66" s="18"/>
      <c r="V66" s="33"/>
      <c r="X66" s="337"/>
      <c r="Y66" s="337"/>
      <c r="Z66" s="337"/>
    </row>
    <row r="67" spans="2:26" ht="16.5" customHeight="1">
      <c r="B67" s="179"/>
      <c r="C67" s="301"/>
      <c r="D67" s="366"/>
      <c r="E67" s="164" t="s">
        <v>2098</v>
      </c>
      <c r="F67" s="165"/>
      <c r="G67" s="165"/>
      <c r="H67" s="160"/>
      <c r="I67" s="162">
        <f>IF(Tier2="x",0,Price12)</f>
        <v>0</v>
      </c>
      <c r="J67" s="285">
        <f>IF(K67&lt;&gt;0,"-","")</f>
      </c>
      <c r="K67" s="162">
        <f>IF(AND(Prev12&lt;&gt;"NEW",Prev12&lt;&gt;0,Tier2&lt;&gt;"x"),PMDiscount,0)</f>
        <v>0</v>
      </c>
      <c r="L67" s="160"/>
      <c r="M67" s="162">
        <f>IF(Tier2="x",0,(I67-K67)*(Price12&gt;0))</f>
        <v>0</v>
      </c>
      <c r="N67" s="17"/>
      <c r="O67" s="183"/>
      <c r="R67" s="45"/>
      <c r="T67" s="55"/>
      <c r="U67" s="18">
        <f>Renew2*IF(OR(CurM12=1,Tier2="c"),0,MAX(--V67,X67))</f>
        <v>0</v>
      </c>
      <c r="V67" s="30" t="b">
        <v>0</v>
      </c>
      <c r="W67" s="9" t="s">
        <v>202</v>
      </c>
      <c r="X67" s="337">
        <f>PrevSort12*RenewAll</f>
        <v>0</v>
      </c>
      <c r="Y67" s="337">
        <f>PrevSort12*MemU12</f>
        <v>0</v>
      </c>
      <c r="Z67" s="337"/>
    </row>
    <row r="68" spans="2:26" ht="4.5" customHeight="1">
      <c r="B68" s="179"/>
      <c r="C68" s="137"/>
      <c r="D68" s="137"/>
      <c r="E68" s="159"/>
      <c r="F68" s="159"/>
      <c r="G68" s="159"/>
      <c r="H68" s="160"/>
      <c r="I68" s="159"/>
      <c r="J68" s="175"/>
      <c r="K68" s="167"/>
      <c r="L68" s="160"/>
      <c r="M68" s="159"/>
      <c r="N68" s="17"/>
      <c r="O68" s="183"/>
      <c r="R68" s="45"/>
      <c r="T68" s="55"/>
      <c r="U68" s="18"/>
      <c r="V68" s="33"/>
      <c r="X68" s="337"/>
      <c r="Y68" s="337"/>
      <c r="Z68" s="337"/>
    </row>
    <row r="69" spans="2:26" ht="16.5" customHeight="1">
      <c r="B69" s="179"/>
      <c r="C69" s="301"/>
      <c r="D69" s="366"/>
      <c r="E69" s="164" t="s">
        <v>2147</v>
      </c>
      <c r="F69" s="165"/>
      <c r="G69" s="165"/>
      <c r="H69" s="160"/>
      <c r="I69" s="162">
        <f>IF(Tier2="x",0,Price13)</f>
        <v>0</v>
      </c>
      <c r="J69" s="285">
        <f>IF(K69&lt;&gt;0,"-","")</f>
      </c>
      <c r="K69" s="162">
        <f>IF(AND(Prev13&lt;&gt;"NEW",Prev13&lt;&gt;0,Tier2&lt;&gt;"x"),PMDiscount,0)</f>
        <v>0</v>
      </c>
      <c r="L69" s="160"/>
      <c r="M69" s="162">
        <f>IF(Tier2="x",0,(I69-K69)*(Price13&gt;0))</f>
        <v>0</v>
      </c>
      <c r="N69" s="17"/>
      <c r="O69" s="183"/>
      <c r="R69" s="45"/>
      <c r="T69" s="55"/>
      <c r="U69" s="18">
        <f>Renew2*IF(CurM13=1,0,MAX(--V69,X69))</f>
        <v>0</v>
      </c>
      <c r="V69" s="30" t="b">
        <v>0</v>
      </c>
      <c r="W69" s="9" t="s">
        <v>205</v>
      </c>
      <c r="X69" s="337">
        <f>PrevSort13*RenewAll</f>
        <v>0</v>
      </c>
      <c r="Y69" s="337">
        <f>PrevSort13*MemU13</f>
        <v>0</v>
      </c>
      <c r="Z69" s="337"/>
    </row>
    <row r="70" spans="2:26" ht="4.5" customHeight="1">
      <c r="B70" s="179"/>
      <c r="C70" s="137"/>
      <c r="D70" s="137"/>
      <c r="E70" s="159"/>
      <c r="F70" s="159"/>
      <c r="G70" s="159"/>
      <c r="H70" s="160"/>
      <c r="I70" s="159"/>
      <c r="J70" s="175"/>
      <c r="K70" s="167"/>
      <c r="L70" s="160"/>
      <c r="M70" s="159"/>
      <c r="N70" s="17"/>
      <c r="O70" s="183"/>
      <c r="R70" s="45"/>
      <c r="T70" s="55"/>
      <c r="U70" s="18"/>
      <c r="V70" s="33"/>
      <c r="X70" s="337"/>
      <c r="Y70" s="337"/>
      <c r="Z70" s="337"/>
    </row>
    <row r="71" spans="2:26" ht="16.5" customHeight="1">
      <c r="B71" s="179"/>
      <c r="C71" s="301"/>
      <c r="D71" s="366"/>
      <c r="E71" s="164" t="s">
        <v>2168</v>
      </c>
      <c r="F71" s="165"/>
      <c r="G71" s="165"/>
      <c r="H71" s="160"/>
      <c r="I71" s="162">
        <f>IF(Tier2="x",0,Price14)</f>
        <v>0</v>
      </c>
      <c r="J71" s="285">
        <f>IF(K71&lt;&gt;0,"-","")</f>
      </c>
      <c r="K71" s="162">
        <f>IF(AND(Prev14&lt;&gt;"NEW",Prev14&lt;&gt;0,Tier2&lt;&gt;"x"),PMDiscount,0)</f>
        <v>0</v>
      </c>
      <c r="L71" s="160"/>
      <c r="M71" s="162">
        <f>IF(Tier2="x",0,(I71-K71)*(Price14&gt;0))</f>
        <v>0</v>
      </c>
      <c r="N71" s="156"/>
      <c r="O71" s="199"/>
      <c r="R71" s="45"/>
      <c r="T71" s="55"/>
      <c r="U71" s="18">
        <f>Renew2*IF(OR(CurM14=1,Tier2="d"),0,MAX(--V71,X71))</f>
        <v>0</v>
      </c>
      <c r="V71" s="30" t="b">
        <v>0</v>
      </c>
      <c r="W71" s="9" t="s">
        <v>2184</v>
      </c>
      <c r="X71" s="337">
        <f>PrevSort14*RenewAll</f>
        <v>0</v>
      </c>
      <c r="Y71" s="337">
        <f>PrevSort14*MemU14</f>
        <v>0</v>
      </c>
      <c r="Z71" s="337"/>
    </row>
    <row r="72" spans="2:26" ht="4.5" customHeight="1">
      <c r="B72" s="179"/>
      <c r="C72" s="37"/>
      <c r="D72" s="37"/>
      <c r="E72" s="170"/>
      <c r="F72" s="170"/>
      <c r="G72" s="170"/>
      <c r="H72" s="170"/>
      <c r="I72" s="169"/>
      <c r="J72" s="287"/>
      <c r="K72" s="160"/>
      <c r="L72" s="160"/>
      <c r="M72" s="160"/>
      <c r="N72" s="57"/>
      <c r="O72" s="200"/>
      <c r="U72" s="18"/>
      <c r="V72" s="33"/>
      <c r="X72" s="337"/>
      <c r="Y72" s="337"/>
      <c r="Z72" s="337"/>
    </row>
    <row r="73" spans="2:26" ht="16.5" customHeight="1">
      <c r="B73" s="179"/>
      <c r="C73" s="301"/>
      <c r="D73" s="366"/>
      <c r="E73" s="158" t="s">
        <v>1187</v>
      </c>
      <c r="F73" s="159"/>
      <c r="G73" s="159"/>
      <c r="H73" s="160"/>
      <c r="I73" s="161">
        <f>IF(Tier2="x",0,Price15)</f>
        <v>0</v>
      </c>
      <c r="J73" s="285">
        <f>IF(K73&lt;&gt;0,"-","")</f>
      </c>
      <c r="K73" s="162">
        <f>IF(AND(Prev15&lt;&gt;"NEW",Prev15&lt;&gt;0,Tier2&lt;&gt;"x"),PMDiscount,0)</f>
        <v>0</v>
      </c>
      <c r="L73" s="165"/>
      <c r="M73" s="162">
        <f>IF(Tier2="x",0,(I73-K73)*(Price15&gt;0))</f>
        <v>0</v>
      </c>
      <c r="N73" s="155"/>
      <c r="O73" s="196"/>
      <c r="T73" s="55"/>
      <c r="U73" s="18">
        <f>Renew2*IF(CurM15=1,0,MAX(--V73,X73))</f>
        <v>0</v>
      </c>
      <c r="V73" s="30" t="b">
        <v>0</v>
      </c>
      <c r="W73" s="9" t="s">
        <v>175</v>
      </c>
      <c r="X73" s="337">
        <f>PrevSort15*RenewAll</f>
        <v>0</v>
      </c>
      <c r="Y73" s="337">
        <f>PrevSort15*MemU15</f>
        <v>0</v>
      </c>
      <c r="Z73" s="337"/>
    </row>
    <row r="74" spans="2:26" ht="4.5" customHeight="1">
      <c r="B74" s="179"/>
      <c r="C74" s="37"/>
      <c r="D74" s="37"/>
      <c r="E74" s="170"/>
      <c r="F74" s="170"/>
      <c r="G74" s="170"/>
      <c r="H74" s="170"/>
      <c r="I74" s="169"/>
      <c r="J74" s="287"/>
      <c r="K74" s="160"/>
      <c r="L74" s="160"/>
      <c r="M74" s="160"/>
      <c r="N74" s="57"/>
      <c r="O74" s="200"/>
      <c r="U74" s="18"/>
      <c r="V74" s="33"/>
      <c r="X74" s="337"/>
      <c r="Y74" s="337"/>
      <c r="Z74" s="337"/>
    </row>
    <row r="75" spans="2:26" ht="16.5" customHeight="1">
      <c r="B75" s="179"/>
      <c r="C75" s="301"/>
      <c r="D75" s="366"/>
      <c r="E75" s="158" t="s">
        <v>2149</v>
      </c>
      <c r="F75" s="159"/>
      <c r="G75" s="159"/>
      <c r="H75" s="160"/>
      <c r="I75" s="161">
        <f>IF(Tier2="x",0,Price16)</f>
        <v>0</v>
      </c>
      <c r="J75" s="285">
        <f>IF(K75&lt;&gt;0,"-","")</f>
      </c>
      <c r="K75" s="162">
        <f>IF(AND(Prev16&lt;&gt;"NEW",Prev16&lt;&gt;0,Tier2&lt;&gt;"x"),PMDiscount,0)</f>
        <v>0</v>
      </c>
      <c r="L75" s="165"/>
      <c r="M75" s="161">
        <f>IF(Tier2="x",0,(I75-K75)*(Price16&gt;0))</f>
        <v>0</v>
      </c>
      <c r="N75" s="155"/>
      <c r="O75" s="196"/>
      <c r="T75" s="55"/>
      <c r="U75" s="18">
        <f>Renew2*IF(CurM16=1,0,MAX(--V75,X75))</f>
        <v>0</v>
      </c>
      <c r="V75" s="30" t="b">
        <v>0</v>
      </c>
      <c r="W75" s="9" t="s">
        <v>207</v>
      </c>
      <c r="X75" s="337">
        <f>PrevSort16*RenewAll</f>
        <v>0</v>
      </c>
      <c r="Y75" s="337">
        <f>PrevSort16*MemU16</f>
        <v>0</v>
      </c>
      <c r="Z75" s="337"/>
    </row>
    <row r="76" spans="2:25" ht="4.5" customHeight="1" thickBot="1">
      <c r="B76" s="179"/>
      <c r="C76" s="37"/>
      <c r="D76" s="37"/>
      <c r="E76" s="170"/>
      <c r="F76" s="170"/>
      <c r="G76" s="170"/>
      <c r="H76" s="170"/>
      <c r="I76" s="169"/>
      <c r="J76" s="287"/>
      <c r="K76" s="160"/>
      <c r="L76" s="160"/>
      <c r="M76" s="160"/>
      <c r="N76" s="57"/>
      <c r="O76" s="200"/>
      <c r="V76" s="33"/>
      <c r="Y76" s="337"/>
    </row>
    <row r="77" spans="2:23" ht="16.5" customHeight="1" thickBot="1" thickTop="1">
      <c r="B77" s="179"/>
      <c r="C77" s="301"/>
      <c r="D77" s="301"/>
      <c r="E77" s="164" t="s">
        <v>1489</v>
      </c>
      <c r="F77" s="165"/>
      <c r="G77" s="165"/>
      <c r="H77" s="160"/>
      <c r="I77" s="162"/>
      <c r="J77" s="285"/>
      <c r="K77" s="162"/>
      <c r="L77" s="160"/>
      <c r="M77" s="324" t="s">
        <v>1213</v>
      </c>
      <c r="N77" s="17"/>
      <c r="O77" s="183"/>
      <c r="R77" s="45"/>
      <c r="T77" s="55"/>
      <c r="U77" s="332">
        <f>IF(SUM(Current)&gt;0,0,IF(AND(Tier3="d",U79&gt;0),1,0))</f>
        <v>0</v>
      </c>
      <c r="V77" s="325"/>
      <c r="W77" s="9" t="s">
        <v>1210</v>
      </c>
    </row>
    <row r="78" spans="2:22" ht="14.25" customHeight="1" thickTop="1">
      <c r="B78" s="179"/>
      <c r="C78" s="136"/>
      <c r="D78" s="136"/>
      <c r="E78" s="171"/>
      <c r="F78" s="171"/>
      <c r="G78" s="171"/>
      <c r="H78" s="171"/>
      <c r="I78" s="172"/>
      <c r="J78" s="176"/>
      <c r="K78" s="173"/>
      <c r="L78" s="171"/>
      <c r="M78" s="174"/>
      <c r="N78" s="145"/>
      <c r="O78" s="182"/>
      <c r="R78" s="45"/>
      <c r="T78" s="55"/>
      <c r="U78" s="322" t="s">
        <v>1211</v>
      </c>
      <c r="V78" s="323" t="s">
        <v>1212</v>
      </c>
    </row>
    <row r="79" spans="2:22" ht="27.75" customHeight="1">
      <c r="B79" s="179"/>
      <c r="C79" s="480" t="str">
        <f>"Total for "&amp;Chosen2&amp;"clubs chosen:"</f>
        <v>Total for clubs chosen:</v>
      </c>
      <c r="D79" s="480"/>
      <c r="E79" s="480"/>
      <c r="F79" s="480"/>
      <c r="G79" s="480"/>
      <c r="H79" s="480"/>
      <c r="I79" s="57">
        <f>Renew2*SUMPRODUCT(I45:I77*U45:U77*1)</f>
        <v>0</v>
      </c>
      <c r="J79" s="289" t="str">
        <f>"-"</f>
        <v>-</v>
      </c>
      <c r="K79" s="57">
        <f>Renew2*SUMPRODUCT(K45:K77*U45:U77*1)</f>
        <v>0</v>
      </c>
      <c r="L79" s="168"/>
      <c r="M79" s="57">
        <f>I79-K79</f>
        <v>0</v>
      </c>
      <c r="N79" s="145"/>
      <c r="O79" s="182"/>
      <c r="R79" s="45"/>
      <c r="T79" s="55"/>
      <c r="U79" s="326">
        <f>Renew2*SUMPRODUCT(U45:U75*1)</f>
        <v>0</v>
      </c>
      <c r="V79" s="320">
        <f>IF(U79&lt;2,"",U79&amp;" ")</f>
      </c>
    </row>
    <row r="80" spans="2:22" ht="27.75" customHeight="1">
      <c r="B80" s="179"/>
      <c r="C80" s="37"/>
      <c r="D80" s="37"/>
      <c r="J80" s="311"/>
      <c r="K80" s="295" t="str">
        <f>"10% bulk discount if "&amp;Bulk&amp;" or more clubs joined*:"</f>
        <v>10% bulk discount if 10 or more clubs joined*:</v>
      </c>
      <c r="L80" s="160"/>
      <c r="M80" s="291">
        <f>IF(SUMPRODUCT(U45:U75*1)+SUM(Current)-CurM17&gt;=Bulk,M79*0.1,0)</f>
        <v>0</v>
      </c>
      <c r="N80" s="291" t="str">
        <f>"-"</f>
        <v>-</v>
      </c>
      <c r="O80" s="200"/>
      <c r="V80" s="330">
        <f>2*(Tier2="u")+10</f>
        <v>10</v>
      </c>
    </row>
    <row r="81" spans="2:21" ht="14.25" customHeight="1" thickBot="1">
      <c r="B81" s="179"/>
      <c r="C81" s="301"/>
      <c r="D81" s="301"/>
      <c r="H81" s="290"/>
      <c r="J81" s="312"/>
      <c r="K81" s="312"/>
      <c r="L81" s="279"/>
      <c r="M81" s="313"/>
      <c r="N81" s="313"/>
      <c r="O81" s="314"/>
      <c r="U81" s="319" t="s">
        <v>1485</v>
      </c>
    </row>
    <row r="82" spans="2:23" s="26" customFormat="1" ht="19.5" customHeight="1" thickTop="1">
      <c r="B82" s="201"/>
      <c r="C82" s="63"/>
      <c r="D82" s="63"/>
      <c r="E82" s="64"/>
      <c r="F82" s="64"/>
      <c r="G82" s="64"/>
      <c r="H82" s="64"/>
      <c r="I82" s="64"/>
      <c r="K82" s="296" t="s">
        <v>1484</v>
      </c>
      <c r="L82" s="315"/>
      <c r="M82" s="478">
        <f>M79-M80</f>
        <v>0</v>
      </c>
      <c r="N82" s="63"/>
      <c r="O82" s="202"/>
      <c r="Q82" s="6"/>
      <c r="S82" s="61"/>
      <c r="T82" s="61"/>
      <c r="U82" s="327">
        <f>SUM(Current)</f>
        <v>0</v>
      </c>
      <c r="W82" s="61"/>
    </row>
    <row r="83" spans="2:23" s="26" customFormat="1" ht="19.5" customHeight="1" thickBot="1">
      <c r="B83" s="201"/>
      <c r="E83" s="315"/>
      <c r="F83" s="315"/>
      <c r="G83" s="315"/>
      <c r="H83" s="316"/>
      <c r="K83" s="305" t="s">
        <v>1483</v>
      </c>
      <c r="L83" s="315"/>
      <c r="M83" s="479"/>
      <c r="N83" s="288"/>
      <c r="O83" s="203"/>
      <c r="S83" s="59"/>
      <c r="T83" s="60"/>
      <c r="U83" s="61"/>
      <c r="W83" s="61"/>
    </row>
    <row r="84" spans="2:23" s="26" customFormat="1" ht="27" customHeight="1" thickTop="1">
      <c r="B84" s="201"/>
      <c r="F84" s="302" t="s">
        <v>193</v>
      </c>
      <c r="G84" s="315"/>
      <c r="H84" s="316"/>
      <c r="I84" s="297"/>
      <c r="L84" s="315"/>
      <c r="M84" s="317"/>
      <c r="N84" s="288"/>
      <c r="O84" s="203"/>
      <c r="S84" s="59"/>
      <c r="T84" s="60"/>
      <c r="U84" s="328">
        <f>1-V84</f>
        <v>1</v>
      </c>
      <c r="V84" s="304" t="b">
        <v>0</v>
      </c>
      <c r="W84" s="40" t="s">
        <v>1482</v>
      </c>
    </row>
    <row r="85" spans="2:21" ht="9" customHeight="1">
      <c r="B85" s="204"/>
      <c r="C85" s="269"/>
      <c r="D85" s="269"/>
      <c r="E85" s="277"/>
      <c r="F85" s="277"/>
      <c r="G85" s="277"/>
      <c r="H85" s="277"/>
      <c r="I85" s="277"/>
      <c r="J85" s="277"/>
      <c r="K85" s="277"/>
      <c r="L85" s="277"/>
      <c r="M85" s="277"/>
      <c r="N85" s="277"/>
      <c r="O85" s="205"/>
      <c r="U85" s="329" t="s">
        <v>1161</v>
      </c>
    </row>
    <row r="86" spans="2:15" ht="16.5" customHeight="1" thickBot="1">
      <c r="B86" s="292"/>
      <c r="C86" s="294" t="s">
        <v>1970</v>
      </c>
      <c r="D86" s="294"/>
      <c r="E86" s="293"/>
      <c r="F86" s="293"/>
      <c r="G86" s="464"/>
      <c r="H86" s="464"/>
      <c r="I86" s="464"/>
      <c r="J86" s="464"/>
      <c r="K86" s="464"/>
      <c r="L86" s="464"/>
      <c r="M86" s="464"/>
      <c r="N86" s="464"/>
      <c r="O86" s="465"/>
    </row>
    <row r="87" spans="2:23" s="26" customFormat="1" ht="30.75" customHeight="1">
      <c r="B87" s="306"/>
      <c r="C87" s="459" t="s">
        <v>1514</v>
      </c>
      <c r="D87" s="459"/>
      <c r="E87" s="459"/>
      <c r="F87" s="459"/>
      <c r="G87" s="459"/>
      <c r="H87" s="459"/>
      <c r="I87" s="459"/>
      <c r="J87" s="459"/>
      <c r="K87" s="459"/>
      <c r="L87" s="459"/>
      <c r="M87" s="459"/>
      <c r="N87" s="459"/>
      <c r="O87" s="307"/>
      <c r="S87" s="59"/>
      <c r="T87" s="60"/>
      <c r="U87" s="61"/>
      <c r="V87" s="61"/>
      <c r="W87" s="61"/>
    </row>
    <row r="88" spans="2:23" s="22" customFormat="1" ht="18.75" customHeight="1">
      <c r="B88" s="308"/>
      <c r="C88" s="462" t="s">
        <v>240</v>
      </c>
      <c r="D88" s="462"/>
      <c r="E88" s="462"/>
      <c r="F88" s="462"/>
      <c r="G88" s="462"/>
      <c r="H88" s="462"/>
      <c r="I88" s="462"/>
      <c r="J88" s="462"/>
      <c r="K88" s="462"/>
      <c r="L88" s="462"/>
      <c r="M88" s="462"/>
      <c r="N88" s="462"/>
      <c r="O88" s="119"/>
      <c r="S88" s="40"/>
      <c r="T88" s="40"/>
      <c r="U88" s="40"/>
      <c r="V88" s="40"/>
      <c r="W88" s="40"/>
    </row>
    <row r="89" spans="2:15" ht="6" customHeight="1">
      <c r="B89" s="463"/>
      <c r="C89" s="463"/>
      <c r="D89" s="463"/>
      <c r="E89" s="463"/>
      <c r="F89" s="463"/>
      <c r="G89" s="463"/>
      <c r="H89" s="463"/>
      <c r="I89" s="463"/>
      <c r="J89" s="463"/>
      <c r="K89" s="463"/>
      <c r="L89" s="463"/>
      <c r="M89" s="463"/>
      <c r="N89" s="463"/>
      <c r="O89" s="463"/>
    </row>
    <row r="90" spans="2:15" ht="16.5" customHeight="1">
      <c r="B90" s="17"/>
      <c r="C90" s="461" t="s">
        <v>1108</v>
      </c>
      <c r="D90" s="461"/>
      <c r="E90" s="461"/>
      <c r="F90" s="461"/>
      <c r="G90" s="461"/>
      <c r="H90" s="461"/>
      <c r="I90" s="461"/>
      <c r="J90" s="461"/>
      <c r="K90" s="461"/>
      <c r="L90" s="157"/>
      <c r="M90" s="157"/>
      <c r="N90" s="157"/>
      <c r="O90" s="17"/>
    </row>
    <row r="91" spans="2:23" s="22" customFormat="1" ht="12.75" customHeight="1">
      <c r="B91" s="119"/>
      <c r="C91" s="461"/>
      <c r="D91" s="461"/>
      <c r="E91" s="461"/>
      <c r="F91" s="461"/>
      <c r="G91" s="461"/>
      <c r="H91" s="461"/>
      <c r="I91" s="461"/>
      <c r="J91" s="461"/>
      <c r="K91" s="461"/>
      <c r="L91" s="157"/>
      <c r="M91" s="157"/>
      <c r="N91" s="157"/>
      <c r="O91" s="318"/>
      <c r="S91" s="40"/>
      <c r="T91" s="40"/>
      <c r="U91" s="40"/>
      <c r="V91" s="40"/>
      <c r="W91" s="40"/>
    </row>
    <row r="92" spans="2:15" ht="12.75" customHeight="1">
      <c r="B92" s="17"/>
      <c r="C92" s="17"/>
      <c r="D92" s="17"/>
      <c r="E92" s="17"/>
      <c r="F92" s="17"/>
      <c r="G92" s="17"/>
      <c r="H92" s="17"/>
      <c r="J92" s="17"/>
      <c r="K92" s="17"/>
      <c r="L92" s="17"/>
      <c r="M92" s="17"/>
      <c r="N92" s="17"/>
      <c r="O92" s="277"/>
    </row>
    <row r="93" spans="2:15" ht="12.75" customHeight="1">
      <c r="B93" s="17"/>
      <c r="C93" s="454" t="s">
        <v>1107</v>
      </c>
      <c r="D93" s="454"/>
      <c r="E93" s="454"/>
      <c r="F93" s="454"/>
      <c r="G93" s="454"/>
      <c r="H93" s="454"/>
      <c r="I93" s="454"/>
      <c r="J93" s="454"/>
      <c r="K93" s="454"/>
      <c r="L93" s="157"/>
      <c r="M93" s="157"/>
      <c r="N93" s="157"/>
      <c r="O93" s="277"/>
    </row>
    <row r="94" spans="2:15" ht="12" customHeight="1">
      <c r="B94" s="17"/>
      <c r="C94" s="278"/>
      <c r="D94" s="278"/>
      <c r="E94" s="17"/>
      <c r="F94" s="17"/>
      <c r="G94" s="17"/>
      <c r="H94" s="17"/>
      <c r="I94" s="278"/>
      <c r="J94" s="17"/>
      <c r="K94" s="17"/>
      <c r="L94" s="17"/>
      <c r="M94" s="17"/>
      <c r="N94" s="17"/>
      <c r="O94" s="17"/>
    </row>
    <row r="95" spans="1:16" ht="13.5" customHeight="1">
      <c r="A95" s="138"/>
      <c r="N95" s="56"/>
      <c r="O95" s="178" t="str">
        <f>MemLong</f>
        <v>Please enter your organisation name</v>
      </c>
      <c r="P95" s="178"/>
    </row>
    <row r="96" ht="0.75" customHeight="1" hidden="1">
      <c r="A96" s="138"/>
    </row>
  </sheetData>
  <sheetProtection password="CF39" sheet="1"/>
  <mergeCells count="33">
    <mergeCell ref="M82:M83"/>
    <mergeCell ref="C79:H79"/>
    <mergeCell ref="G17:I17"/>
    <mergeCell ref="G19:I19"/>
    <mergeCell ref="J28:M28"/>
    <mergeCell ref="J20:M21"/>
    <mergeCell ref="H23:M23"/>
    <mergeCell ref="B26:O26"/>
    <mergeCell ref="F30:M30"/>
    <mergeCell ref="C39:N39"/>
    <mergeCell ref="G15:M15"/>
    <mergeCell ref="B7:P7"/>
    <mergeCell ref="G13:M13"/>
    <mergeCell ref="G14:M14"/>
    <mergeCell ref="J10:M10"/>
    <mergeCell ref="B12:O12"/>
    <mergeCell ref="G16:M16"/>
    <mergeCell ref="B38:O38"/>
    <mergeCell ref="F32:M32"/>
    <mergeCell ref="G21:I21"/>
    <mergeCell ref="F31:M31"/>
    <mergeCell ref="F28:H28"/>
    <mergeCell ref="C28:D28"/>
    <mergeCell ref="C93:K93"/>
    <mergeCell ref="F33:M33"/>
    <mergeCell ref="C35:N35"/>
    <mergeCell ref="C40:N40"/>
    <mergeCell ref="C87:N87"/>
    <mergeCell ref="C41:H42"/>
    <mergeCell ref="C90:K91"/>
    <mergeCell ref="C88:N88"/>
    <mergeCell ref="B89:O89"/>
    <mergeCell ref="G86:O86"/>
  </mergeCells>
  <conditionalFormatting sqref="J20">
    <cfRule type="expression" priority="420" dxfId="117" stopIfTrue="1">
      <formula>G21=""</formula>
    </cfRule>
  </conditionalFormatting>
  <conditionalFormatting sqref="C43:D44">
    <cfRule type="expression" priority="456" dxfId="49" stopIfTrue="1">
      <formula>SUM(Current)&gt;0</formula>
    </cfRule>
    <cfRule type="expression" priority="457" dxfId="2" stopIfTrue="1">
      <formula>SUM(Current)=0</formula>
    </cfRule>
  </conditionalFormatting>
  <conditionalFormatting sqref="E75 I75:K75 M75">
    <cfRule type="cellIs" priority="604" dxfId="50" operator="equal" stopIfTrue="1">
      <formula>0</formula>
    </cfRule>
    <cfRule type="expression" priority="605" dxfId="49" stopIfTrue="1">
      <formula>CurM16=1</formula>
    </cfRule>
    <cfRule type="expression" priority="606" dxfId="48" stopIfTrue="1">
      <formula>MemU16=1</formula>
    </cfRule>
  </conditionalFormatting>
  <conditionalFormatting sqref="E73 I73:K73 M73">
    <cfRule type="cellIs" priority="601" dxfId="50" operator="equal" stopIfTrue="1">
      <formula>0</formula>
    </cfRule>
    <cfRule type="expression" priority="602" dxfId="49" stopIfTrue="1">
      <formula>CurM15=1</formula>
    </cfRule>
    <cfRule type="expression" priority="603" dxfId="48" stopIfTrue="1">
      <formula>MemU15=1</formula>
    </cfRule>
  </conditionalFormatting>
  <conditionalFormatting sqref="E69 I69:K69 M69">
    <cfRule type="cellIs" priority="595" dxfId="50" operator="equal" stopIfTrue="1">
      <formula>0</formula>
    </cfRule>
    <cfRule type="expression" priority="596" dxfId="49" stopIfTrue="1">
      <formula>CurM13=1</formula>
    </cfRule>
    <cfRule type="expression" priority="597" dxfId="48" stopIfTrue="1">
      <formula>MemU13=1</formula>
    </cfRule>
  </conditionalFormatting>
  <conditionalFormatting sqref="E65 I65:K65 M65">
    <cfRule type="cellIs" priority="607" dxfId="50" operator="equal" stopIfTrue="1">
      <formula>0</formula>
    </cfRule>
    <cfRule type="expression" priority="608" dxfId="49" stopIfTrue="1">
      <formula>CurM11=1</formula>
    </cfRule>
    <cfRule type="expression" priority="609" dxfId="48" stopIfTrue="1">
      <formula>MemU11=1</formula>
    </cfRule>
  </conditionalFormatting>
  <conditionalFormatting sqref="E63 I63:K63 M63">
    <cfRule type="cellIs" priority="589" dxfId="50" operator="equal" stopIfTrue="1">
      <formula>0</formula>
    </cfRule>
    <cfRule type="expression" priority="590" dxfId="49" stopIfTrue="1">
      <formula>CurM10=1</formula>
    </cfRule>
    <cfRule type="expression" priority="591" dxfId="48" stopIfTrue="1">
      <formula>MemU10=1</formula>
    </cfRule>
  </conditionalFormatting>
  <conditionalFormatting sqref="E61 I61:K61 M61">
    <cfRule type="cellIs" priority="586" dxfId="50" operator="equal" stopIfTrue="1">
      <formula>0</formula>
    </cfRule>
    <cfRule type="expression" priority="587" dxfId="49" stopIfTrue="1">
      <formula>CurM9=1</formula>
    </cfRule>
    <cfRule type="expression" priority="588" dxfId="48" stopIfTrue="1">
      <formula>MemU9=1</formula>
    </cfRule>
  </conditionalFormatting>
  <conditionalFormatting sqref="E59 I59:K59 M59">
    <cfRule type="cellIs" priority="583" dxfId="50" operator="equal" stopIfTrue="1">
      <formula>0</formula>
    </cfRule>
    <cfRule type="expression" priority="584" dxfId="49" stopIfTrue="1">
      <formula>CurM8=1</formula>
    </cfRule>
    <cfRule type="expression" priority="585" dxfId="48" stopIfTrue="1">
      <formula>MemU8=1</formula>
    </cfRule>
  </conditionalFormatting>
  <conditionalFormatting sqref="E57 I57:K57 M57">
    <cfRule type="cellIs" priority="580" dxfId="50" operator="equal" stopIfTrue="1">
      <formula>0</formula>
    </cfRule>
    <cfRule type="expression" priority="581" dxfId="49" stopIfTrue="1">
      <formula>CurM7=1</formula>
    </cfRule>
    <cfRule type="expression" priority="582" dxfId="48" stopIfTrue="1">
      <formula>MemU7=1</formula>
    </cfRule>
  </conditionalFormatting>
  <conditionalFormatting sqref="E55 I55:K55 M55">
    <cfRule type="cellIs" priority="577" dxfId="50" operator="equal" stopIfTrue="1">
      <formula>0</formula>
    </cfRule>
    <cfRule type="expression" priority="578" dxfId="49" stopIfTrue="1">
      <formula>CurM6=1</formula>
    </cfRule>
    <cfRule type="expression" priority="579" dxfId="48" stopIfTrue="1">
      <formula>MemU6=1</formula>
    </cfRule>
  </conditionalFormatting>
  <conditionalFormatting sqref="E49 I49:K49 M49">
    <cfRule type="cellIs" priority="568" dxfId="50" operator="equal" stopIfTrue="1">
      <formula>0</formula>
    </cfRule>
    <cfRule type="expression" priority="569" dxfId="49" stopIfTrue="1">
      <formula>CurM3=1</formula>
    </cfRule>
    <cfRule type="expression" priority="570" dxfId="48" stopIfTrue="1">
      <formula>MemU3=1</formula>
    </cfRule>
  </conditionalFormatting>
  <conditionalFormatting sqref="E47 I47:K47 M47">
    <cfRule type="cellIs" priority="565" dxfId="50" operator="equal" stopIfTrue="1">
      <formula>0</formula>
    </cfRule>
    <cfRule type="expression" priority="566" dxfId="49" stopIfTrue="1">
      <formula>CurM2=1</formula>
    </cfRule>
    <cfRule type="expression" priority="567" dxfId="48" stopIfTrue="1">
      <formula>MemU2=1</formula>
    </cfRule>
  </conditionalFormatting>
  <conditionalFormatting sqref="E45 I45:K45 M45">
    <cfRule type="cellIs" priority="613" dxfId="50" operator="equal" stopIfTrue="1">
      <formula>0</formula>
    </cfRule>
    <cfRule type="expression" priority="614" dxfId="49" stopIfTrue="1">
      <formula>CurM1=1</formula>
    </cfRule>
    <cfRule type="expression" priority="615" dxfId="48" stopIfTrue="1">
      <formula>MemU1=1</formula>
    </cfRule>
  </conditionalFormatting>
  <conditionalFormatting sqref="E51">
    <cfRule type="expression" priority="406" dxfId="53" stopIfTrue="1">
      <formula>Price4=0</formula>
    </cfRule>
    <cfRule type="expression" priority="407" dxfId="49" stopIfTrue="1">
      <formula>CurM4=1</formula>
    </cfRule>
    <cfRule type="expression" priority="408" dxfId="48" stopIfTrue="1">
      <formula>MemU4=1</formula>
    </cfRule>
  </conditionalFormatting>
  <conditionalFormatting sqref="E53">
    <cfRule type="expression" priority="402" dxfId="53" stopIfTrue="1">
      <formula>Price5=0</formula>
    </cfRule>
    <cfRule type="expression" priority="403" dxfId="49" stopIfTrue="1">
      <formula>CurM5=1</formula>
    </cfRule>
    <cfRule type="expression" priority="404" dxfId="48" stopIfTrue="1">
      <formula>MemU5=1</formula>
    </cfRule>
  </conditionalFormatting>
  <conditionalFormatting sqref="E67">
    <cfRule type="expression" priority="399" dxfId="53" stopIfTrue="1">
      <formula>Price12=0</formula>
    </cfRule>
    <cfRule type="expression" priority="400" dxfId="49" stopIfTrue="1">
      <formula>CurM12=1</formula>
    </cfRule>
    <cfRule type="expression" priority="401" dxfId="48" stopIfTrue="1">
      <formula>MemU12=1</formula>
    </cfRule>
  </conditionalFormatting>
  <conditionalFormatting sqref="E71">
    <cfRule type="expression" priority="396" dxfId="53" stopIfTrue="1">
      <formula>Price14=0</formula>
    </cfRule>
    <cfRule type="expression" priority="397" dxfId="49" stopIfTrue="1">
      <formula>CurM14=1</formula>
    </cfRule>
    <cfRule type="expression" priority="398" dxfId="48" stopIfTrue="1">
      <formula>MemU14=1</formula>
    </cfRule>
  </conditionalFormatting>
  <conditionalFormatting sqref="M79 M80:N80 I79:K79">
    <cfRule type="expression" priority="346" dxfId="66" stopIfTrue="1">
      <formula>Tier2="x"</formula>
    </cfRule>
  </conditionalFormatting>
  <conditionalFormatting sqref="I71:K71 M71">
    <cfRule type="cellIs" priority="154" dxfId="50" operator="equal" stopIfTrue="1">
      <formula>0</formula>
    </cfRule>
    <cfRule type="expression" priority="155" dxfId="49" stopIfTrue="1">
      <formula>CurM14=1</formula>
    </cfRule>
    <cfRule type="expression" priority="156" dxfId="48" stopIfTrue="1">
      <formula>MemU14=1</formula>
    </cfRule>
  </conditionalFormatting>
  <conditionalFormatting sqref="I67:K67 M67">
    <cfRule type="cellIs" priority="148" dxfId="50" operator="equal" stopIfTrue="1">
      <formula>0</formula>
    </cfRule>
    <cfRule type="expression" priority="149" dxfId="49" stopIfTrue="1">
      <formula>CurM12=1</formula>
    </cfRule>
    <cfRule type="expression" priority="150" dxfId="48" stopIfTrue="1">
      <formula>MemU12=1</formula>
    </cfRule>
  </conditionalFormatting>
  <conditionalFormatting sqref="I53:K53 M53">
    <cfRule type="cellIs" priority="130" dxfId="50" operator="equal" stopIfTrue="1">
      <formula>0</formula>
    </cfRule>
    <cfRule type="expression" priority="131" dxfId="49" stopIfTrue="1">
      <formula>CurM5=1</formula>
    </cfRule>
    <cfRule type="expression" priority="132" dxfId="48" stopIfTrue="1">
      <formula>MemU5=1</formula>
    </cfRule>
  </conditionalFormatting>
  <conditionalFormatting sqref="I51:K51 M51">
    <cfRule type="cellIs" priority="127" dxfId="50" operator="equal" stopIfTrue="1">
      <formula>0</formula>
    </cfRule>
    <cfRule type="expression" priority="128" dxfId="49" stopIfTrue="1">
      <formula>CurM4=1</formula>
    </cfRule>
    <cfRule type="expression" priority="129" dxfId="48" stopIfTrue="1">
      <formula>MemU4=1</formula>
    </cfRule>
  </conditionalFormatting>
  <conditionalFormatting sqref="E77">
    <cfRule type="expression" priority="9" dxfId="53" stopIfTrue="1">
      <formula>Tier3&lt;&gt;"d"</formula>
    </cfRule>
    <cfRule type="expression" priority="10" dxfId="49" stopIfTrue="1">
      <formula>CurM17=1</formula>
    </cfRule>
    <cfRule type="expression" priority="11" dxfId="48" stopIfTrue="1">
      <formula>MemU17=1</formula>
    </cfRule>
  </conditionalFormatting>
  <conditionalFormatting sqref="I77:K77 M77">
    <cfRule type="expression" priority="715" dxfId="50" stopIfTrue="1">
      <formula>Tier3&lt;&gt;"d"</formula>
    </cfRule>
    <cfRule type="expression" priority="716" dxfId="49" stopIfTrue="1">
      <formula>CurM17=1</formula>
    </cfRule>
    <cfRule type="expression" priority="717" dxfId="48" stopIfTrue="1">
      <formula>MemU17=1</formula>
    </cfRule>
  </conditionalFormatting>
  <conditionalFormatting sqref="G13:M13">
    <cfRule type="cellIs" priority="1" dxfId="46" operator="equal" stopIfTrue="1">
      <formula>"Please enter your organisation name"</formula>
    </cfRule>
  </conditionalFormatting>
  <dataValidations count="4">
    <dataValidation type="custom" allowBlank="1" showInputMessage="1" showErrorMessage="1" errorTitle="Data entry not enabled" error="You may not enter data in this cell.&#10;To select a club, please cancel then tick the box." sqref="C45:D45 C77:D77 C51:D51 C53:D53 C55:D55 C57:D57 C59:D59 C61:D61 C63:D63 C65:D65 C71:D71 C73:D73 C47:D47 C69:D69 C67:D67 C75:D75 C49:D49">
      <formula1>FALSE</formula1>
    </dataValidation>
    <dataValidation type="custom" allowBlank="1" showInputMessage="1" showErrorMessage="1" errorTitle="Data entry not enabled" error="You may not enter data in this cell.&#10;To choose this option, please cancel then tick the box." sqref="G23">
      <formula1>FALSE</formula1>
    </dataValidation>
    <dataValidation type="list" allowBlank="1" showInputMessage="1" showErrorMessage="1" errorTitle="Data entry not enabled" error="You may not enter data in this cell.&#10;Please cancel, then select from the dropdown list." sqref="G19">
      <formula1>TierRange1</formula1>
    </dataValidation>
    <dataValidation type="textLength" operator="lessThanOrEqual" allowBlank="1" showInputMessage="1" showErrorMessage="1" errorTitle="For CIPFA use only" error="max 100 characters" sqref="G86:O86">
      <formula1>50</formula1>
    </dataValidation>
  </dataValidations>
  <hyperlinks>
    <hyperlink ref="J10" r:id="rId1" display="Benchmarking@cipfa.org"/>
    <hyperlink ref="B7" r:id="rId2" display="BMDirect@cipfa.org"/>
    <hyperlink ref="B7:P7" r:id="rId3" display="BMDirect@cipfa.org"/>
  </hyperlinks>
  <printOptions horizontalCentered="1"/>
  <pageMargins left="0.3937007874015748" right="0.3937007874015748" top="0.3937007874015748" bottom="0.35433070866141736" header="0.35433070866141736" footer="0.35433070866141736"/>
  <pageSetup horizontalDpi="600" verticalDpi="600" orientation="portrait" paperSize="9" r:id="rId6"/>
  <headerFooter alignWithMargins="0">
    <oddFooter>&amp;C&amp;8&amp;P of &amp;N&amp;R&amp;8U</oddFooter>
  </headerFooter>
  <rowBreaks count="1" manualBreakCount="1">
    <brk id="37" min="1" max="13" man="1"/>
  </rowBreaks>
  <drawing r:id="rId5"/>
  <legacyDrawing r:id="rId4"/>
</worksheet>
</file>

<file path=xl/worksheets/sheet2.xml><?xml version="1.0" encoding="utf-8"?>
<worksheet xmlns="http://schemas.openxmlformats.org/spreadsheetml/2006/main" xmlns:r="http://schemas.openxmlformats.org/officeDocument/2006/relationships">
  <sheetPr>
    <tabColor indexed="48"/>
    <pageSetUpPr fitToPage="1"/>
  </sheetPr>
  <dimension ref="A1:AQ148"/>
  <sheetViews>
    <sheetView showGridLines="0" showRowColHeaders="0" zoomScalePageLayoutView="0" workbookViewId="0" topLeftCell="A1">
      <selection activeCell="N160" sqref="N160"/>
    </sheetView>
  </sheetViews>
  <sheetFormatPr defaultColWidth="7.7109375" defaultRowHeight="12.75"/>
  <cols>
    <col min="1" max="1" width="2.8515625" style="68" customWidth="1"/>
    <col min="2" max="2" width="2.7109375" style="68" customWidth="1"/>
    <col min="3" max="3" width="33.00390625" style="68" customWidth="1"/>
    <col min="4" max="4" width="5.140625" style="68" customWidth="1"/>
    <col min="5" max="5" width="3.8515625" style="68" customWidth="1"/>
    <col min="6" max="14" width="7.7109375" style="68" customWidth="1"/>
    <col min="15" max="15" width="2.8515625" style="68" customWidth="1"/>
    <col min="16" max="16" width="7.7109375" style="68" customWidth="1"/>
    <col min="17" max="17" width="8.7109375" style="9" hidden="1" customWidth="1"/>
    <col min="18" max="18" width="16.421875" style="9" hidden="1" customWidth="1"/>
    <col min="19" max="20" width="7.7109375" style="9" hidden="1" customWidth="1"/>
    <col min="21" max="21" width="11.00390625" style="9" hidden="1" customWidth="1"/>
    <col min="22" max="28" width="7.7109375" style="9" hidden="1" customWidth="1"/>
    <col min="29" max="29" width="16.8515625" style="9" hidden="1" customWidth="1"/>
    <col min="30" max="30" width="11.28125" style="9" hidden="1" customWidth="1"/>
    <col min="31" max="31" width="8.28125" style="9" hidden="1" customWidth="1"/>
    <col min="32" max="32" width="11.421875" style="9" hidden="1" customWidth="1"/>
    <col min="33" max="34" width="5.00390625" style="9" hidden="1" customWidth="1"/>
    <col min="35" max="35" width="4.28125" style="9" hidden="1" customWidth="1"/>
    <col min="36" max="36" width="13.28125" style="9" hidden="1" customWidth="1"/>
    <col min="37" max="37" width="10.57421875" style="9" hidden="1" customWidth="1"/>
    <col min="38" max="38" width="7.7109375" style="68" hidden="1" customWidth="1"/>
    <col min="39" max="39" width="24.140625" style="68" bestFit="1" customWidth="1"/>
    <col min="40" max="16384" width="7.7109375" style="68" customWidth="1"/>
  </cols>
  <sheetData>
    <row r="1" spans="1:43" s="69" customFormat="1" ht="26.25" customHeight="1">
      <c r="A1" s="15">
        <v>2</v>
      </c>
      <c r="B1" s="509" t="str">
        <f>"CIPFA Corporate Services Benchmarking "&amp;MemYear&amp;": Club Contacts"</f>
        <v>CIPFA Corporate Services Benchmarking 2013: Club Contacts</v>
      </c>
      <c r="C1" s="509"/>
      <c r="D1" s="509"/>
      <c r="E1" s="509"/>
      <c r="F1" s="509"/>
      <c r="G1" s="509"/>
      <c r="H1" s="509"/>
      <c r="I1" s="509"/>
      <c r="J1" s="509"/>
      <c r="K1" s="509"/>
      <c r="L1" s="509"/>
      <c r="M1" s="509"/>
      <c r="N1" s="509"/>
      <c r="O1" s="66"/>
      <c r="P1" s="67"/>
      <c r="Q1" s="40"/>
      <c r="R1" s="140" t="s">
        <v>1149</v>
      </c>
      <c r="S1" s="71" t="s">
        <v>1109</v>
      </c>
      <c r="T1" s="40"/>
      <c r="U1" s="40"/>
      <c r="V1" s="71" t="str">
        <f>MemLong</f>
        <v>Please enter your organisation name</v>
      </c>
      <c r="W1" s="267"/>
      <c r="X1" s="267"/>
      <c r="Y1" s="267"/>
      <c r="Z1" s="267"/>
      <c r="AA1" s="267"/>
      <c r="AB1" s="267"/>
      <c r="AC1" s="268" t="s">
        <v>1645</v>
      </c>
      <c r="AD1" s="40"/>
      <c r="AE1" s="40"/>
      <c r="AF1" s="72"/>
      <c r="AG1" s="499" t="s">
        <v>345</v>
      </c>
      <c r="AH1" s="500"/>
      <c r="AI1" s="501"/>
      <c r="AJ1" s="73" t="s">
        <v>1177</v>
      </c>
      <c r="AK1" s="40"/>
      <c r="AL1" s="68"/>
      <c r="AM1" s="68"/>
      <c r="AN1" s="68"/>
      <c r="AO1" s="68"/>
      <c r="AP1" s="68"/>
      <c r="AQ1" s="68"/>
    </row>
    <row r="2" spans="2:37" ht="33.75" customHeight="1">
      <c r="B2" s="504" t="s">
        <v>1481</v>
      </c>
      <c r="C2" s="504"/>
      <c r="D2" s="504"/>
      <c r="E2" s="504"/>
      <c r="F2" s="504"/>
      <c r="G2" s="504"/>
      <c r="H2" s="504"/>
      <c r="I2" s="504"/>
      <c r="J2" s="504"/>
      <c r="K2" s="504"/>
      <c r="L2" s="504"/>
      <c r="M2" s="504"/>
      <c r="N2" s="504"/>
      <c r="O2" s="504"/>
      <c r="P2" s="70"/>
      <c r="Q2" s="40"/>
      <c r="R2" s="76" t="s">
        <v>1544</v>
      </c>
      <c r="S2" s="77" t="s">
        <v>8</v>
      </c>
      <c r="T2" s="78" t="s">
        <v>388</v>
      </c>
      <c r="U2" s="79" t="s">
        <v>1801</v>
      </c>
      <c r="V2" s="80" t="s">
        <v>2470</v>
      </c>
      <c r="W2" s="81" t="s">
        <v>1706</v>
      </c>
      <c r="X2" s="82" t="s">
        <v>1256</v>
      </c>
      <c r="Y2" s="82" t="s">
        <v>310</v>
      </c>
      <c r="Z2" s="83" t="s">
        <v>1707</v>
      </c>
      <c r="AA2" s="82" t="s">
        <v>390</v>
      </c>
      <c r="AB2" s="82" t="s">
        <v>2468</v>
      </c>
      <c r="AC2" s="82" t="s">
        <v>2469</v>
      </c>
      <c r="AD2" s="84" t="s">
        <v>2374</v>
      </c>
      <c r="AE2" s="85" t="s">
        <v>346</v>
      </c>
      <c r="AF2" s="255" t="s">
        <v>1714</v>
      </c>
      <c r="AG2" s="257" t="s">
        <v>344</v>
      </c>
      <c r="AH2" s="355" t="s">
        <v>2291</v>
      </c>
      <c r="AI2" s="357" t="s">
        <v>2068</v>
      </c>
      <c r="AJ2" s="256" t="s">
        <v>1175</v>
      </c>
      <c r="AK2" s="86" t="s">
        <v>1713</v>
      </c>
    </row>
    <row r="3" spans="2:37" ht="23.25" customHeight="1">
      <c r="B3" s="510" t="str">
        <f>IF(Launch2=12,"",IF(Launch2=2,"Email addresses have been pre-completed for your selected clubs: please amend them where necessary","Contact details have been pre-completed for your selected clubs: please amend them where necessary."))</f>
        <v>Email addresses have been pre-completed for your selected clubs: please amend them where necessary</v>
      </c>
      <c r="C3" s="510"/>
      <c r="D3" s="510"/>
      <c r="E3" s="510"/>
      <c r="F3" s="510"/>
      <c r="G3" s="510"/>
      <c r="H3" s="510"/>
      <c r="I3" s="510"/>
      <c r="J3" s="510"/>
      <c r="K3" s="510"/>
      <c r="L3" s="510"/>
      <c r="M3" s="510"/>
      <c r="N3" s="510"/>
      <c r="O3" s="74"/>
      <c r="P3" s="75"/>
      <c r="Q3" s="141">
        <f>MemU1</f>
        <v>0</v>
      </c>
      <c r="R3" s="260">
        <f>Q3*1</f>
        <v>0</v>
      </c>
      <c r="S3" s="263">
        <f>Prev1</f>
        <v>0</v>
      </c>
      <c r="T3" s="88" t="str">
        <f>FLAS</f>
        <v>Code</v>
      </c>
      <c r="U3" s="89" t="str">
        <f aca="true" t="shared" si="0" ref="U3:U20">IF(MemSort="NEW",MemLong,MemSort)</f>
        <v>Please enter your organisation name</v>
      </c>
      <c r="V3" s="90" t="s">
        <v>1148</v>
      </c>
      <c r="W3" s="91">
        <f>D11</f>
        <v>0</v>
      </c>
      <c r="X3" s="92">
        <f>G11</f>
        <v>0</v>
      </c>
      <c r="Y3" s="92">
        <f>K11</f>
        <v>0</v>
      </c>
      <c r="Z3" s="92">
        <f>G13</f>
        <v>0</v>
      </c>
      <c r="AA3" s="92">
        <f>G14</f>
        <v>0</v>
      </c>
      <c r="AB3" s="93">
        <f>G15</f>
        <v>0</v>
      </c>
      <c r="AC3" s="92">
        <f>G16</f>
      </c>
      <c r="AD3" s="253">
        <f aca="true" ca="1" t="shared" si="1" ref="AD3:AD10">NOW()</f>
        <v>41460.41183009259</v>
      </c>
      <c r="AE3" s="254">
        <f>IF(ISERROR(S3*MemM1),0,S3*MemM1)</f>
        <v>0</v>
      </c>
      <c r="AF3" s="259" t="b">
        <f>IF(MemM1=1,AC3&gt;"a",TRUE)</f>
        <v>1</v>
      </c>
      <c r="AG3" s="95"/>
      <c r="AH3" s="97"/>
      <c r="AI3" s="96"/>
      <c r="AJ3" s="96"/>
      <c r="AK3" s="98">
        <f>COUNTIF(ValTable,"=FALSE")</f>
        <v>2</v>
      </c>
    </row>
    <row r="4" spans="2:43" ht="57" customHeight="1">
      <c r="B4" s="511" t="s">
        <v>2394</v>
      </c>
      <c r="C4" s="511"/>
      <c r="D4" s="511"/>
      <c r="E4" s="511"/>
      <c r="F4" s="511"/>
      <c r="G4" s="511"/>
      <c r="H4" s="511"/>
      <c r="I4" s="511"/>
      <c r="J4" s="511"/>
      <c r="K4" s="511"/>
      <c r="L4" s="511"/>
      <c r="M4" s="511"/>
      <c r="N4" s="511"/>
      <c r="O4" s="87"/>
      <c r="Q4" s="140">
        <f>MemU2</f>
        <v>0</v>
      </c>
      <c r="R4" s="261">
        <f>Q4*1</f>
        <v>0</v>
      </c>
      <c r="S4" s="264">
        <f>Prev2</f>
        <v>0</v>
      </c>
      <c r="T4" s="109" t="str">
        <f aca="true" t="shared" si="2" ref="T4:T20">FLAS</f>
        <v>Code</v>
      </c>
      <c r="U4" s="96" t="str">
        <f t="shared" si="0"/>
        <v>Please enter your organisation name</v>
      </c>
      <c r="V4" s="110" t="s">
        <v>2146</v>
      </c>
      <c r="W4" s="111">
        <f>D19</f>
        <v>0</v>
      </c>
      <c r="X4" s="112">
        <f>G19</f>
        <v>0</v>
      </c>
      <c r="Y4" s="112">
        <f>K19</f>
        <v>0</v>
      </c>
      <c r="Z4" s="112">
        <f>G21</f>
        <v>0</v>
      </c>
      <c r="AA4" s="112">
        <f>G22</f>
        <v>0</v>
      </c>
      <c r="AB4" s="113">
        <f>G23</f>
        <v>0</v>
      </c>
      <c r="AC4" s="112">
        <f>G24</f>
      </c>
      <c r="AD4" s="108">
        <f ca="1" t="shared" si="1"/>
        <v>41460.41183009259</v>
      </c>
      <c r="AE4" s="94">
        <f>IF(ISERROR(S4*MemM2),0,S4*MemM2)</f>
        <v>0</v>
      </c>
      <c r="AF4" s="95" t="b">
        <f>IF(MemM2=1,AC4&gt;"a",TRUE)</f>
        <v>1</v>
      </c>
      <c r="AG4" s="95"/>
      <c r="AH4" s="97"/>
      <c r="AI4" s="96"/>
      <c r="AJ4" s="96"/>
      <c r="AK4" s="40"/>
      <c r="AL4" s="99"/>
      <c r="AM4" s="99"/>
      <c r="AN4" s="99"/>
      <c r="AO4" s="99"/>
      <c r="AP4" s="99"/>
      <c r="AQ4" s="99"/>
    </row>
    <row r="5" spans="2:43" s="99" customFormat="1" ht="15.75" customHeight="1" thickBot="1">
      <c r="B5" s="100"/>
      <c r="C5" s="101"/>
      <c r="D5" s="101"/>
      <c r="E5" s="101"/>
      <c r="F5" s="101"/>
      <c r="G5" s="101"/>
      <c r="H5" s="101"/>
      <c r="I5" s="101"/>
      <c r="J5" s="101"/>
      <c r="K5" s="101"/>
      <c r="L5" s="101"/>
      <c r="Q5" s="140">
        <f>MemU3</f>
        <v>0</v>
      </c>
      <c r="R5" s="261">
        <f aca="true" t="shared" si="3" ref="R5:R19">Q5*1</f>
        <v>0</v>
      </c>
      <c r="S5" s="264">
        <f>Prev3</f>
        <v>0</v>
      </c>
      <c r="T5" s="109" t="str">
        <f t="shared" si="2"/>
        <v>Code</v>
      </c>
      <c r="U5" s="96" t="str">
        <f t="shared" si="0"/>
        <v>Please enter your organisation name</v>
      </c>
      <c r="V5" s="110" t="s">
        <v>2455</v>
      </c>
      <c r="W5" s="111">
        <f>D27</f>
        <v>0</v>
      </c>
      <c r="X5" s="112">
        <f>G27</f>
        <v>0</v>
      </c>
      <c r="Y5" s="112">
        <f>K27</f>
        <v>0</v>
      </c>
      <c r="Z5" s="112">
        <f>G29</f>
        <v>0</v>
      </c>
      <c r="AA5" s="112">
        <f>G30</f>
        <v>0</v>
      </c>
      <c r="AB5" s="113">
        <f>G31</f>
        <v>0</v>
      </c>
      <c r="AC5" s="112">
        <f>G32</f>
      </c>
      <c r="AD5" s="108">
        <f ca="1" t="shared" si="1"/>
        <v>41460.41183009259</v>
      </c>
      <c r="AE5" s="94">
        <f>IF(ISERROR(S5*MemM3),0,S5*MemM3)</f>
        <v>0</v>
      </c>
      <c r="AF5" s="95" t="b">
        <f>IF(MemM3=1,AC5&gt;"a",TRUE)</f>
        <v>1</v>
      </c>
      <c r="AG5" s="95"/>
      <c r="AH5" s="97"/>
      <c r="AI5" s="96"/>
      <c r="AJ5" s="96"/>
      <c r="AK5" s="40"/>
      <c r="AL5" s="68"/>
      <c r="AM5" s="68"/>
      <c r="AN5" s="68"/>
      <c r="AO5" s="68"/>
      <c r="AP5" s="68"/>
      <c r="AQ5" s="68"/>
    </row>
    <row r="6" spans="2:43" ht="18" customHeight="1" thickTop="1">
      <c r="B6" s="489" t="s">
        <v>2470</v>
      </c>
      <c r="C6" s="491"/>
      <c r="D6" s="489" t="str">
        <f>"Contact Details"&amp;IF(LEFT(MemLong,8)&lt;&gt;"please e"," for","")&amp;"
"&amp;IF(LEFT(MemLong,8)&lt;&gt;"please e",MemLong,"")&amp;"
- You must have a working email address to participate -"</f>
        <v>Contact Details
- You must have a working email address to participate -</v>
      </c>
      <c r="E6" s="490"/>
      <c r="F6" s="490"/>
      <c r="G6" s="490"/>
      <c r="H6" s="490"/>
      <c r="I6" s="490"/>
      <c r="J6" s="490"/>
      <c r="K6" s="490"/>
      <c r="L6" s="490"/>
      <c r="M6" s="490"/>
      <c r="N6" s="491"/>
      <c r="O6" s="229"/>
      <c r="Q6" s="140">
        <f>MemU4</f>
        <v>0</v>
      </c>
      <c r="R6" s="261">
        <f t="shared" si="3"/>
        <v>0</v>
      </c>
      <c r="S6" s="265">
        <f>Prev4</f>
        <v>0</v>
      </c>
      <c r="T6" s="102" t="str">
        <f t="shared" si="2"/>
        <v>Code</v>
      </c>
      <c r="U6" s="103" t="str">
        <f t="shared" si="0"/>
        <v>Please enter your organisation name</v>
      </c>
      <c r="V6" s="104" t="s">
        <v>2311</v>
      </c>
      <c r="W6" s="105">
        <f>D35</f>
        <v>0</v>
      </c>
      <c r="X6" s="106">
        <f>G35</f>
        <v>0</v>
      </c>
      <c r="Y6" s="106">
        <f>K35</f>
        <v>0</v>
      </c>
      <c r="Z6" s="106">
        <f>G37</f>
        <v>0</v>
      </c>
      <c r="AA6" s="106">
        <f>G38</f>
        <v>0</v>
      </c>
      <c r="AB6" s="107">
        <f>G39</f>
        <v>0</v>
      </c>
      <c r="AC6" s="106">
        <f>G40</f>
      </c>
      <c r="AD6" s="108">
        <f ca="1" t="shared" si="1"/>
        <v>41460.41183009259</v>
      </c>
      <c r="AE6" s="94">
        <f>IF(ISERROR(S6*MemM4),0,S6*MemM4)</f>
        <v>0</v>
      </c>
      <c r="AF6" s="95" t="b">
        <f>IF(MemM4=1,AC6&gt;"a",TRUE)</f>
        <v>1</v>
      </c>
      <c r="AG6" s="95"/>
      <c r="AH6" s="97"/>
      <c r="AI6" s="96"/>
      <c r="AJ6" s="96"/>
      <c r="AK6" s="40"/>
      <c r="AL6" s="114"/>
      <c r="AM6" s="115"/>
      <c r="AN6" s="114"/>
      <c r="AO6" s="114"/>
      <c r="AP6" s="114"/>
      <c r="AQ6" s="114"/>
    </row>
    <row r="7" spans="2:43" ht="18" customHeight="1">
      <c r="B7" s="492"/>
      <c r="C7" s="494"/>
      <c r="D7" s="492"/>
      <c r="E7" s="493"/>
      <c r="F7" s="493"/>
      <c r="G7" s="493"/>
      <c r="H7" s="493"/>
      <c r="I7" s="493"/>
      <c r="J7" s="493"/>
      <c r="K7" s="493"/>
      <c r="L7" s="493"/>
      <c r="M7" s="493"/>
      <c r="N7" s="494"/>
      <c r="O7" s="229"/>
      <c r="Q7" s="140">
        <f>MemU5</f>
        <v>0</v>
      </c>
      <c r="R7" s="261">
        <f t="shared" si="3"/>
        <v>0</v>
      </c>
      <c r="S7" s="265">
        <f>Prev5</f>
        <v>0</v>
      </c>
      <c r="T7" s="102" t="str">
        <f t="shared" si="2"/>
        <v>Code</v>
      </c>
      <c r="U7" s="103" t="str">
        <f t="shared" si="0"/>
        <v>Please enter your organisation name</v>
      </c>
      <c r="V7" s="104" t="s">
        <v>206</v>
      </c>
      <c r="W7" s="105">
        <f>D43</f>
        <v>0</v>
      </c>
      <c r="X7" s="106">
        <f>G43</f>
        <v>0</v>
      </c>
      <c r="Y7" s="106">
        <f>K43</f>
        <v>0</v>
      </c>
      <c r="Z7" s="106">
        <f>G45</f>
        <v>0</v>
      </c>
      <c r="AA7" s="106">
        <f>G46</f>
        <v>0</v>
      </c>
      <c r="AB7" s="107">
        <f>G47</f>
        <v>0</v>
      </c>
      <c r="AC7" s="106">
        <f>G48</f>
      </c>
      <c r="AD7" s="108">
        <f ca="1" t="shared" si="1"/>
        <v>41460.41183009259</v>
      </c>
      <c r="AE7" s="94">
        <f>IF(ISERROR(S7*MemM5),0,S7*MemM5)</f>
        <v>0</v>
      </c>
      <c r="AF7" s="95" t="b">
        <f>IF(MemM5=1,AC7&gt;"a",TRUE)</f>
        <v>1</v>
      </c>
      <c r="AG7" s="95"/>
      <c r="AH7" s="97"/>
      <c r="AI7" s="96"/>
      <c r="AJ7" s="96"/>
      <c r="AK7" s="118"/>
      <c r="AL7" s="114"/>
      <c r="AM7" s="115"/>
      <c r="AN7" s="114"/>
      <c r="AO7" s="114"/>
      <c r="AP7" s="114"/>
      <c r="AQ7" s="114"/>
    </row>
    <row r="8" spans="2:43" ht="18" customHeight="1" thickBot="1">
      <c r="B8" s="495"/>
      <c r="C8" s="497"/>
      <c r="D8" s="495"/>
      <c r="E8" s="496"/>
      <c r="F8" s="496"/>
      <c r="G8" s="496"/>
      <c r="H8" s="496"/>
      <c r="I8" s="496"/>
      <c r="J8" s="496"/>
      <c r="K8" s="496"/>
      <c r="L8" s="496"/>
      <c r="M8" s="496"/>
      <c r="N8" s="497"/>
      <c r="O8" s="229"/>
      <c r="Q8" s="140">
        <f>MemU6</f>
        <v>0</v>
      </c>
      <c r="R8" s="261">
        <f t="shared" si="3"/>
        <v>0</v>
      </c>
      <c r="S8" s="265">
        <f>Prev6</f>
        <v>0</v>
      </c>
      <c r="T8" s="102" t="str">
        <f t="shared" si="2"/>
        <v>Code</v>
      </c>
      <c r="U8" s="103" t="str">
        <f t="shared" si="0"/>
        <v>Please enter your organisation name</v>
      </c>
      <c r="V8" s="104" t="s">
        <v>2312</v>
      </c>
      <c r="W8" s="105">
        <f>D51</f>
        <v>0</v>
      </c>
      <c r="X8" s="106">
        <f>G51</f>
        <v>0</v>
      </c>
      <c r="Y8" s="106">
        <f>K51</f>
        <v>0</v>
      </c>
      <c r="Z8" s="106">
        <f>G53</f>
        <v>0</v>
      </c>
      <c r="AA8" s="106">
        <f>G54</f>
        <v>0</v>
      </c>
      <c r="AB8" s="107">
        <f>G55</f>
        <v>0</v>
      </c>
      <c r="AC8" s="106">
        <f>G56</f>
      </c>
      <c r="AD8" s="108">
        <f ca="1" t="shared" si="1"/>
        <v>41460.41183009259</v>
      </c>
      <c r="AE8" s="94">
        <f>IF(ISERROR(S8*MemM6),0,S8*MemM6)</f>
        <v>0</v>
      </c>
      <c r="AF8" s="95" t="b">
        <f>IF(MemM6=1,AC8&gt;"a",TRUE)</f>
        <v>1</v>
      </c>
      <c r="AG8" s="95"/>
      <c r="AH8" s="97"/>
      <c r="AI8" s="96"/>
      <c r="AJ8" s="96"/>
      <c r="AK8" s="40"/>
      <c r="AL8" s="114"/>
      <c r="AM8" s="115"/>
      <c r="AN8" s="114"/>
      <c r="AO8" s="114"/>
      <c r="AP8" s="114"/>
      <c r="AQ8" s="114"/>
    </row>
    <row r="9" spans="2:37" s="114" customFormat="1" ht="12" customHeight="1" thickTop="1">
      <c r="B9" s="232"/>
      <c r="C9" s="233"/>
      <c r="D9" s="233"/>
      <c r="E9" s="233"/>
      <c r="F9" s="233"/>
      <c r="G9" s="502"/>
      <c r="H9" s="502"/>
      <c r="I9" s="502"/>
      <c r="J9" s="502"/>
      <c r="K9" s="502"/>
      <c r="L9" s="502"/>
      <c r="M9" s="502"/>
      <c r="N9" s="503"/>
      <c r="O9" s="120"/>
      <c r="Q9" s="140">
        <f>MemU7</f>
        <v>0</v>
      </c>
      <c r="R9" s="261">
        <f t="shared" si="3"/>
        <v>0</v>
      </c>
      <c r="S9" s="265">
        <f>Prev7</f>
        <v>0</v>
      </c>
      <c r="T9" s="102" t="str">
        <f t="shared" si="2"/>
        <v>Code</v>
      </c>
      <c r="U9" s="103" t="str">
        <f t="shared" si="0"/>
        <v>Please enter your organisation name</v>
      </c>
      <c r="V9" s="104" t="s">
        <v>201</v>
      </c>
      <c r="W9" s="105">
        <f>D59</f>
        <v>0</v>
      </c>
      <c r="X9" s="106">
        <f>G59</f>
        <v>0</v>
      </c>
      <c r="Y9" s="106">
        <f>K59</f>
        <v>0</v>
      </c>
      <c r="Z9" s="106">
        <f>G61</f>
        <v>0</v>
      </c>
      <c r="AA9" s="106">
        <f>G62</f>
        <v>0</v>
      </c>
      <c r="AB9" s="107">
        <f>G63</f>
        <v>0</v>
      </c>
      <c r="AC9" s="106">
        <f>G64</f>
      </c>
      <c r="AD9" s="108">
        <f ca="1" t="shared" si="1"/>
        <v>41460.41183009259</v>
      </c>
      <c r="AE9" s="94">
        <f>IF(ISERROR(S9*MemM7),0,S9*MemM7)</f>
        <v>0</v>
      </c>
      <c r="AF9" s="95" t="b">
        <f>IF(MemM7=1,AC9&gt;"a",TRUE)</f>
        <v>1</v>
      </c>
      <c r="AG9" s="95"/>
      <c r="AH9" s="97"/>
      <c r="AI9" s="96"/>
      <c r="AJ9" s="96"/>
      <c r="AK9" s="40"/>
    </row>
    <row r="10" spans="2:37" s="114" customFormat="1" ht="15.75" customHeight="1">
      <c r="B10" s="234"/>
      <c r="C10" s="498" t="s">
        <v>2210</v>
      </c>
      <c r="D10" s="228" t="s">
        <v>2172</v>
      </c>
      <c r="E10" s="250" t="s">
        <v>1264</v>
      </c>
      <c r="F10" s="116"/>
      <c r="G10" s="228" t="s">
        <v>2244</v>
      </c>
      <c r="H10" s="117"/>
      <c r="I10" s="117"/>
      <c r="J10" s="117"/>
      <c r="K10" s="228" t="s">
        <v>2245</v>
      </c>
      <c r="L10" s="117"/>
      <c r="M10" s="117"/>
      <c r="N10" s="235"/>
      <c r="O10" s="228"/>
      <c r="Q10" s="140">
        <f>MemU8</f>
        <v>0</v>
      </c>
      <c r="R10" s="261">
        <f t="shared" si="3"/>
        <v>0</v>
      </c>
      <c r="S10" s="265">
        <f>Prev8</f>
        <v>0</v>
      </c>
      <c r="T10" s="102" t="str">
        <f t="shared" si="2"/>
        <v>Code</v>
      </c>
      <c r="U10" s="103" t="str">
        <f t="shared" si="0"/>
        <v>Please enter your organisation name</v>
      </c>
      <c r="V10" s="104" t="s">
        <v>1753</v>
      </c>
      <c r="W10" s="105">
        <f>D67</f>
        <v>0</v>
      </c>
      <c r="X10" s="106">
        <f>G67</f>
        <v>0</v>
      </c>
      <c r="Y10" s="106">
        <f>K67</f>
        <v>0</v>
      </c>
      <c r="Z10" s="106">
        <f>G69</f>
        <v>0</v>
      </c>
      <c r="AA10" s="106">
        <f>G70</f>
        <v>0</v>
      </c>
      <c r="AB10" s="107">
        <f>G71</f>
        <v>0</v>
      </c>
      <c r="AC10" s="106">
        <f>G72</f>
      </c>
      <c r="AD10" s="108">
        <f ca="1" t="shared" si="1"/>
        <v>41460.41183009259</v>
      </c>
      <c r="AE10" s="94">
        <f>IF(ISERROR(S10*MemM8),0,S10*MemM8)</f>
        <v>0</v>
      </c>
      <c r="AF10" s="95" t="b">
        <f>IF(MemM8=1,AC10&gt;"a",TRUE)</f>
        <v>1</v>
      </c>
      <c r="AG10" s="95"/>
      <c r="AH10" s="97"/>
      <c r="AI10" s="96"/>
      <c r="AJ10" s="96"/>
      <c r="AK10" s="40"/>
    </row>
    <row r="11" spans="2:37" s="114" customFormat="1" ht="15.75" customHeight="1">
      <c r="B11" s="236"/>
      <c r="C11" s="498"/>
      <c r="D11" s="483"/>
      <c r="E11" s="483"/>
      <c r="F11" s="116"/>
      <c r="G11" s="483"/>
      <c r="H11" s="483"/>
      <c r="I11" s="483"/>
      <c r="J11" s="117"/>
      <c r="K11" s="483"/>
      <c r="L11" s="483"/>
      <c r="M11" s="483"/>
      <c r="N11" s="484"/>
      <c r="O11" s="230"/>
      <c r="Q11" s="140">
        <f>MemU9</f>
        <v>0</v>
      </c>
      <c r="R11" s="261">
        <f t="shared" si="3"/>
        <v>0</v>
      </c>
      <c r="S11" s="265">
        <f>Prev9</f>
        <v>0</v>
      </c>
      <c r="T11" s="102" t="str">
        <f t="shared" si="2"/>
        <v>Code</v>
      </c>
      <c r="U11" s="103" t="str">
        <f t="shared" si="0"/>
        <v>Please enter your organisation name</v>
      </c>
      <c r="V11" s="104" t="s">
        <v>1665</v>
      </c>
      <c r="W11" s="105">
        <f>D75</f>
        <v>0</v>
      </c>
      <c r="X11" s="106">
        <f>G75</f>
        <v>0</v>
      </c>
      <c r="Y11" s="106">
        <f>K75</f>
        <v>0</v>
      </c>
      <c r="Z11" s="106">
        <f>G77</f>
        <v>0</v>
      </c>
      <c r="AA11" s="106">
        <f>G78</f>
        <v>0</v>
      </c>
      <c r="AB11" s="107">
        <f>G79</f>
        <v>0</v>
      </c>
      <c r="AC11" s="106">
        <f>G80</f>
      </c>
      <c r="AD11" s="108">
        <f aca="true" ca="1" t="shared" si="4" ref="AD11:AD17">NOW()</f>
        <v>41460.41183009259</v>
      </c>
      <c r="AE11" s="94">
        <f>IF(ISERROR(S11*MemM9),0,S11*MemM9)</f>
        <v>0</v>
      </c>
      <c r="AF11" s="95" t="b">
        <f>IF(MemM9=1,AC11&gt;"a",TRUE)</f>
        <v>1</v>
      </c>
      <c r="AG11" s="95"/>
      <c r="AH11" s="97"/>
      <c r="AI11" s="96"/>
      <c r="AJ11" s="96"/>
      <c r="AK11" s="40"/>
    </row>
    <row r="12" spans="2:37" s="114" customFormat="1" ht="4.5" customHeight="1">
      <c r="B12" s="236"/>
      <c r="C12" s="120"/>
      <c r="D12" s="117"/>
      <c r="E12" s="120"/>
      <c r="F12" s="116"/>
      <c r="G12" s="117"/>
      <c r="H12" s="117"/>
      <c r="I12" s="117"/>
      <c r="J12" s="117"/>
      <c r="K12" s="117"/>
      <c r="L12" s="117"/>
      <c r="M12" s="117"/>
      <c r="N12" s="235"/>
      <c r="O12" s="230"/>
      <c r="Q12" s="140">
        <f>MemU10</f>
        <v>0</v>
      </c>
      <c r="R12" s="261">
        <f t="shared" si="3"/>
        <v>0</v>
      </c>
      <c r="S12" s="265">
        <f>Prev10</f>
        <v>0</v>
      </c>
      <c r="T12" s="102" t="str">
        <f t="shared" si="2"/>
        <v>Code</v>
      </c>
      <c r="U12" s="103" t="str">
        <f t="shared" si="0"/>
        <v>Please enter your organisation name</v>
      </c>
      <c r="V12" s="104" t="s">
        <v>2150</v>
      </c>
      <c r="W12" s="105">
        <f>D83</f>
        <v>0</v>
      </c>
      <c r="X12" s="106">
        <f>G83</f>
        <v>0</v>
      </c>
      <c r="Y12" s="106">
        <f>K83</f>
        <v>0</v>
      </c>
      <c r="Z12" s="106">
        <f>G85</f>
        <v>0</v>
      </c>
      <c r="AA12" s="106">
        <f>G86</f>
        <v>0</v>
      </c>
      <c r="AB12" s="107">
        <f>G87</f>
        <v>0</v>
      </c>
      <c r="AC12" s="106">
        <f>G88</f>
      </c>
      <c r="AD12" s="108">
        <f ca="1" t="shared" si="4"/>
        <v>41460.41183009259</v>
      </c>
      <c r="AE12" s="94">
        <f>IF(ISERROR(S12*MemM10),0,S12*MemM10)</f>
        <v>0</v>
      </c>
      <c r="AF12" s="95" t="b">
        <f>IF(MemM10=1,AC12&gt;"a",TRUE)</f>
        <v>1</v>
      </c>
      <c r="AG12" s="95"/>
      <c r="AH12" s="97"/>
      <c r="AI12" s="96"/>
      <c r="AJ12" s="96"/>
      <c r="AK12" s="40"/>
    </row>
    <row r="13" spans="2:37" s="114" customFormat="1" ht="15.75" customHeight="1">
      <c r="B13" s="236"/>
      <c r="C13" s="505" t="str">
        <f>IF(CurM1=1,Text1,IF(MemU1=1,"",Text2))</f>
        <v>Please tick the box on the Membership screen before entering contact details.</v>
      </c>
      <c r="D13" s="228" t="s">
        <v>1865</v>
      </c>
      <c r="E13" s="116"/>
      <c r="F13" s="116"/>
      <c r="G13" s="483"/>
      <c r="H13" s="483"/>
      <c r="I13" s="483"/>
      <c r="J13" s="483"/>
      <c r="K13" s="483"/>
      <c r="L13" s="483"/>
      <c r="M13" s="483"/>
      <c r="N13" s="484"/>
      <c r="O13" s="231"/>
      <c r="Q13" s="140">
        <f>MemU11</f>
        <v>0</v>
      </c>
      <c r="R13" s="261">
        <f t="shared" si="3"/>
        <v>0</v>
      </c>
      <c r="S13" s="265">
        <f>Prev11</f>
        <v>0</v>
      </c>
      <c r="T13" s="102" t="str">
        <f t="shared" si="2"/>
        <v>Code</v>
      </c>
      <c r="U13" s="103" t="str">
        <f t="shared" si="0"/>
        <v>Please enter your organisation name</v>
      </c>
      <c r="V13" s="104" t="s">
        <v>1468</v>
      </c>
      <c r="W13" s="105">
        <f>D91</f>
        <v>0</v>
      </c>
      <c r="X13" s="106">
        <f>G91</f>
        <v>0</v>
      </c>
      <c r="Y13" s="106">
        <f>K91</f>
        <v>0</v>
      </c>
      <c r="Z13" s="106">
        <f>G93</f>
        <v>0</v>
      </c>
      <c r="AA13" s="106">
        <f>G94</f>
        <v>0</v>
      </c>
      <c r="AB13" s="107">
        <f>G95</f>
        <v>0</v>
      </c>
      <c r="AC13" s="106">
        <f>G96</f>
      </c>
      <c r="AD13" s="108">
        <f ca="1" t="shared" si="4"/>
        <v>41460.41183009259</v>
      </c>
      <c r="AE13" s="94">
        <f>IF(ISERROR(S13*MemM11),0,S13*MemM11)</f>
        <v>0</v>
      </c>
      <c r="AF13" s="95" t="b">
        <f>IF(MemM11=1,AC13&gt;"a",TRUE)</f>
        <v>1</v>
      </c>
      <c r="AG13" s="95"/>
      <c r="AH13" s="97"/>
      <c r="AI13" s="96"/>
      <c r="AJ13" s="96"/>
      <c r="AK13" s="40"/>
    </row>
    <row r="14" spans="2:37" s="114" customFormat="1" ht="15.75" customHeight="1">
      <c r="B14" s="236"/>
      <c r="C14" s="505"/>
      <c r="D14" s="228" t="s">
        <v>2196</v>
      </c>
      <c r="E14" s="116"/>
      <c r="F14" s="116"/>
      <c r="G14" s="483"/>
      <c r="H14" s="483"/>
      <c r="I14" s="483"/>
      <c r="J14" s="483"/>
      <c r="K14" s="483"/>
      <c r="L14" s="483"/>
      <c r="M14" s="483"/>
      <c r="N14" s="484"/>
      <c r="O14" s="231"/>
      <c r="Q14" s="140">
        <f>MemU12</f>
        <v>0</v>
      </c>
      <c r="R14" s="261">
        <f t="shared" si="3"/>
        <v>0</v>
      </c>
      <c r="S14" s="265">
        <f>Prev12</f>
        <v>0</v>
      </c>
      <c r="T14" s="102" t="str">
        <f t="shared" si="2"/>
        <v>Code</v>
      </c>
      <c r="U14" s="103" t="str">
        <f t="shared" si="0"/>
        <v>Please enter your organisation name</v>
      </c>
      <c r="V14" s="104" t="s">
        <v>202</v>
      </c>
      <c r="W14" s="105">
        <f>D99</f>
        <v>0</v>
      </c>
      <c r="X14" s="106">
        <f>G99</f>
        <v>0</v>
      </c>
      <c r="Y14" s="106">
        <f>K99</f>
        <v>0</v>
      </c>
      <c r="Z14" s="106">
        <f>G101</f>
        <v>0</v>
      </c>
      <c r="AA14" s="106">
        <f>G102</f>
        <v>0</v>
      </c>
      <c r="AB14" s="107">
        <f>G103</f>
        <v>0</v>
      </c>
      <c r="AC14" s="106">
        <f>G104</f>
      </c>
      <c r="AD14" s="108">
        <f ca="1" t="shared" si="4"/>
        <v>41460.41183009259</v>
      </c>
      <c r="AE14" s="94">
        <f>IF(ISERROR(S14*MemM12),0,S14*MemM12)</f>
        <v>0</v>
      </c>
      <c r="AF14" s="95" t="b">
        <f>IF(MemM12=1,AC14&gt;"a",TRUE)</f>
        <v>1</v>
      </c>
      <c r="AG14" s="95"/>
      <c r="AH14" s="97"/>
      <c r="AI14" s="96"/>
      <c r="AJ14" s="96"/>
      <c r="AK14" s="40"/>
    </row>
    <row r="15" spans="2:37" s="114" customFormat="1" ht="15.75" customHeight="1">
      <c r="B15" s="237"/>
      <c r="C15" s="505"/>
      <c r="D15" s="228" t="s">
        <v>2468</v>
      </c>
      <c r="E15" s="116"/>
      <c r="F15" s="116"/>
      <c r="G15" s="485"/>
      <c r="H15" s="485"/>
      <c r="I15" s="485"/>
      <c r="J15" s="485"/>
      <c r="K15" s="485"/>
      <c r="L15" s="485"/>
      <c r="M15" s="485"/>
      <c r="N15" s="486"/>
      <c r="O15" s="228"/>
      <c r="Q15" s="140">
        <f>MemU13</f>
        <v>0</v>
      </c>
      <c r="R15" s="261">
        <f t="shared" si="3"/>
        <v>0</v>
      </c>
      <c r="S15" s="265">
        <f>Prev13</f>
        <v>0</v>
      </c>
      <c r="T15" s="102" t="str">
        <f t="shared" si="2"/>
        <v>Code</v>
      </c>
      <c r="U15" s="103" t="str">
        <f t="shared" si="0"/>
        <v>Please enter your organisation name</v>
      </c>
      <c r="V15" s="104" t="s">
        <v>205</v>
      </c>
      <c r="W15" s="105">
        <f>D107</f>
        <v>0</v>
      </c>
      <c r="X15" s="106">
        <f>G107</f>
        <v>0</v>
      </c>
      <c r="Y15" s="106">
        <f>K107</f>
        <v>0</v>
      </c>
      <c r="Z15" s="106">
        <f>G109</f>
        <v>0</v>
      </c>
      <c r="AA15" s="106">
        <f>G110</f>
        <v>0</v>
      </c>
      <c r="AB15" s="107">
        <f>G111</f>
        <v>0</v>
      </c>
      <c r="AC15" s="106">
        <f>G112</f>
      </c>
      <c r="AD15" s="108">
        <f ca="1" t="shared" si="4"/>
        <v>41460.41183009259</v>
      </c>
      <c r="AE15" s="94">
        <f>IF(ISERROR(S15*MemM13),0,S15*MemM13)</f>
        <v>0</v>
      </c>
      <c r="AF15" s="95" t="b">
        <f>IF(MemM13=1,AC15&gt;"a",TRUE)</f>
        <v>1</v>
      </c>
      <c r="AG15" s="95"/>
      <c r="AH15" s="97"/>
      <c r="AI15" s="358"/>
      <c r="AJ15" s="96"/>
      <c r="AK15" s="40"/>
    </row>
    <row r="16" spans="2:37" s="114" customFormat="1" ht="15.75" customHeight="1" thickBot="1">
      <c r="B16" s="238"/>
      <c r="C16" s="506"/>
      <c r="D16" s="239" t="s">
        <v>2171</v>
      </c>
      <c r="E16" s="240"/>
      <c r="F16" s="240"/>
      <c r="G16" s="487">
        <f>IF(OEMA=0,"",OEMA)</f>
      </c>
      <c r="H16" s="487"/>
      <c r="I16" s="487"/>
      <c r="J16" s="487"/>
      <c r="K16" s="487"/>
      <c r="L16" s="487"/>
      <c r="M16" s="487"/>
      <c r="N16" s="488"/>
      <c r="O16" s="120"/>
      <c r="Q16" s="225">
        <f>MemU14</f>
        <v>0</v>
      </c>
      <c r="R16" s="261">
        <f t="shared" si="3"/>
        <v>0</v>
      </c>
      <c r="S16" s="266">
        <f>Prev14</f>
        <v>0</v>
      </c>
      <c r="T16" s="226" t="str">
        <f>FLAS</f>
        <v>Code</v>
      </c>
      <c r="U16" s="114" t="str">
        <f t="shared" si="0"/>
        <v>Please enter your organisation name</v>
      </c>
      <c r="V16" s="247" t="s">
        <v>389</v>
      </c>
      <c r="W16" s="227">
        <f>D115</f>
        <v>0</v>
      </c>
      <c r="X16" s="227">
        <f>G115</f>
        <v>0</v>
      </c>
      <c r="Y16" s="227">
        <f>K115</f>
        <v>0</v>
      </c>
      <c r="Z16" s="227">
        <f>G117</f>
        <v>0</v>
      </c>
      <c r="AA16" s="227">
        <f>G118</f>
        <v>0</v>
      </c>
      <c r="AB16" s="248">
        <f>G119</f>
        <v>0</v>
      </c>
      <c r="AC16" s="227">
        <f>G120</f>
      </c>
      <c r="AD16" s="108">
        <f ca="1" t="shared" si="4"/>
        <v>41460.41183009259</v>
      </c>
      <c r="AE16" s="94">
        <f>IF(ISERROR(S16*MemM14),0,S16*MemM14)</f>
        <v>0</v>
      </c>
      <c r="AF16" s="249" t="b">
        <f>IF(MemM14=1,AC16&gt;"a",TRUE)</f>
        <v>1</v>
      </c>
      <c r="AI16" s="246"/>
      <c r="AJ16" s="246"/>
      <c r="AK16" s="40"/>
    </row>
    <row r="17" spans="2:37" s="114" customFormat="1" ht="12" customHeight="1" thickTop="1">
      <c r="B17" s="232"/>
      <c r="C17" s="241"/>
      <c r="D17" s="241"/>
      <c r="E17" s="241"/>
      <c r="F17" s="241"/>
      <c r="G17" s="447"/>
      <c r="H17" s="447"/>
      <c r="I17" s="447"/>
      <c r="J17" s="447"/>
      <c r="K17" s="447"/>
      <c r="L17" s="447"/>
      <c r="M17" s="447"/>
      <c r="N17" s="448"/>
      <c r="O17" s="120"/>
      <c r="Q17" s="225">
        <f>MemU15</f>
        <v>0</v>
      </c>
      <c r="R17" s="261">
        <f t="shared" si="3"/>
        <v>0</v>
      </c>
      <c r="S17" s="266">
        <f>Prev15</f>
        <v>0</v>
      </c>
      <c r="T17" s="226" t="str">
        <f>FLAS</f>
        <v>Code</v>
      </c>
      <c r="U17" s="114" t="str">
        <f t="shared" si="0"/>
        <v>Please enter your organisation name</v>
      </c>
      <c r="V17" s="247" t="s">
        <v>175</v>
      </c>
      <c r="W17" s="227">
        <f>D123</f>
        <v>0</v>
      </c>
      <c r="X17" s="227">
        <f>G123</f>
        <v>0</v>
      </c>
      <c r="Y17" s="227">
        <f>K123</f>
        <v>0</v>
      </c>
      <c r="Z17" s="227">
        <f>G125</f>
        <v>0</v>
      </c>
      <c r="AA17" s="227">
        <f>G126</f>
        <v>0</v>
      </c>
      <c r="AB17" s="248">
        <f>G127</f>
        <v>0</v>
      </c>
      <c r="AC17" s="227">
        <f>G128</f>
      </c>
      <c r="AD17" s="108">
        <f ca="1" t="shared" si="4"/>
        <v>41460.41183009259</v>
      </c>
      <c r="AE17" s="94">
        <f>IF(ISERROR(S17*MemM15),0,S17*MemM15)</f>
        <v>0</v>
      </c>
      <c r="AF17" s="249" t="b">
        <f>IF(MemM15=1,AC17&gt;"a",TRUE)</f>
        <v>1</v>
      </c>
      <c r="AI17" s="246"/>
      <c r="AJ17" s="246"/>
      <c r="AK17" s="40"/>
    </row>
    <row r="18" spans="2:37" s="114" customFormat="1" ht="15.75" customHeight="1">
      <c r="B18" s="234"/>
      <c r="C18" s="498" t="s">
        <v>2146</v>
      </c>
      <c r="D18" s="148" t="s">
        <v>2172</v>
      </c>
      <c r="E18" s="449" t="s">
        <v>1264</v>
      </c>
      <c r="F18" s="121"/>
      <c r="G18" s="148" t="s">
        <v>2244</v>
      </c>
      <c r="H18" s="445"/>
      <c r="I18" s="445"/>
      <c r="J18" s="445"/>
      <c r="K18" s="148" t="s">
        <v>2245</v>
      </c>
      <c r="L18" s="445"/>
      <c r="M18" s="445"/>
      <c r="N18" s="446"/>
      <c r="O18" s="228"/>
      <c r="Q18" s="140">
        <f>MemU16</f>
        <v>0</v>
      </c>
      <c r="R18" s="261">
        <f t="shared" si="3"/>
        <v>0</v>
      </c>
      <c r="S18" s="265">
        <f>Prev16</f>
        <v>0</v>
      </c>
      <c r="T18" s="102" t="str">
        <f t="shared" si="2"/>
        <v>Code</v>
      </c>
      <c r="U18" s="103" t="str">
        <f t="shared" si="0"/>
        <v>Please enter your organisation name</v>
      </c>
      <c r="V18" s="104" t="s">
        <v>207</v>
      </c>
      <c r="W18" s="105">
        <f>D131</f>
        <v>0</v>
      </c>
      <c r="X18" s="106">
        <f>G131</f>
        <v>0</v>
      </c>
      <c r="Y18" s="106">
        <f>K131</f>
        <v>0</v>
      </c>
      <c r="Z18" s="106">
        <f>G133</f>
        <v>0</v>
      </c>
      <c r="AA18" s="321">
        <f>G134</f>
        <v>0</v>
      </c>
      <c r="AB18" s="107">
        <f>G135</f>
        <v>0</v>
      </c>
      <c r="AC18" s="106">
        <f>G136</f>
      </c>
      <c r="AD18" s="108">
        <f ca="1">NOW()</f>
        <v>41460.41183009259</v>
      </c>
      <c r="AE18" s="94">
        <f>IF(ISERROR(S18*MemM16),0,S18*MemM16)</f>
        <v>0</v>
      </c>
      <c r="AF18" s="95" t="b">
        <f>IF(MemM16=1,AC18&gt;"a",TRUE)</f>
        <v>1</v>
      </c>
      <c r="AG18" s="95"/>
      <c r="AH18" s="97"/>
      <c r="AI18" s="361" t="s">
        <v>2373</v>
      </c>
      <c r="AJ18" s="96"/>
      <c r="AK18" s="40"/>
    </row>
    <row r="19" spans="2:37" s="114" customFormat="1" ht="15.75" customHeight="1">
      <c r="B19" s="236"/>
      <c r="C19" s="498"/>
      <c r="D19" s="483"/>
      <c r="E19" s="483"/>
      <c r="F19" s="116"/>
      <c r="G19" s="483"/>
      <c r="H19" s="483"/>
      <c r="I19" s="483"/>
      <c r="J19" s="117"/>
      <c r="K19" s="483"/>
      <c r="L19" s="483"/>
      <c r="M19" s="483"/>
      <c r="N19" s="484"/>
      <c r="O19" s="230"/>
      <c r="Q19" s="140">
        <f>MemU17</f>
        <v>0</v>
      </c>
      <c r="R19" s="261">
        <f t="shared" si="3"/>
        <v>0</v>
      </c>
      <c r="S19" s="265">
        <f>Prev17</f>
        <v>0</v>
      </c>
      <c r="T19" s="102" t="str">
        <f>FLAS</f>
        <v>Code</v>
      </c>
      <c r="U19" s="103" t="str">
        <f t="shared" si="0"/>
        <v>Please enter your organisation name</v>
      </c>
      <c r="V19" s="104" t="s">
        <v>1110</v>
      </c>
      <c r="W19" s="105">
        <f>D139</f>
        <v>0</v>
      </c>
      <c r="X19" s="106">
        <f>G139</f>
        <v>0</v>
      </c>
      <c r="Y19" s="106">
        <f>K139</f>
        <v>0</v>
      </c>
      <c r="Z19" s="106">
        <f>G141</f>
        <v>0</v>
      </c>
      <c r="AA19" s="321">
        <f>G142</f>
        <v>0</v>
      </c>
      <c r="AB19" s="107">
        <f>G143</f>
        <v>0</v>
      </c>
      <c r="AC19" s="106">
        <f>G144</f>
      </c>
      <c r="AD19" s="108">
        <f ca="1">NOW()</f>
        <v>41460.41183009259</v>
      </c>
      <c r="AE19" s="94">
        <f>IF(ISERROR(S19*MemM17),0,S19*MemM17)</f>
        <v>0</v>
      </c>
      <c r="AF19" s="95" t="b">
        <f>IF(MemM17=1,AC19&gt;"a",TRUE)</f>
        <v>1</v>
      </c>
      <c r="AG19" s="95"/>
      <c r="AI19" s="360" t="s">
        <v>1176</v>
      </c>
      <c r="AJ19" s="246"/>
      <c r="AK19" s="40"/>
    </row>
    <row r="20" spans="2:37" s="114" customFormat="1" ht="4.5" customHeight="1">
      <c r="B20" s="236"/>
      <c r="C20" s="120"/>
      <c r="D20" s="117"/>
      <c r="E20" s="120"/>
      <c r="F20" s="116"/>
      <c r="G20" s="117"/>
      <c r="H20" s="117"/>
      <c r="I20" s="117"/>
      <c r="J20" s="117"/>
      <c r="K20" s="117"/>
      <c r="L20" s="117"/>
      <c r="M20" s="117"/>
      <c r="N20" s="235"/>
      <c r="O20" s="230"/>
      <c r="Q20" s="40"/>
      <c r="R20" s="262">
        <v>1</v>
      </c>
      <c r="S20" s="122"/>
      <c r="T20" s="122" t="str">
        <f t="shared" si="2"/>
        <v>Code</v>
      </c>
      <c r="U20" s="123" t="str">
        <f t="shared" si="0"/>
        <v>Please enter your organisation name</v>
      </c>
      <c r="V20" s="124" t="s">
        <v>214</v>
      </c>
      <c r="W20" s="125">
        <f ca="1">INDIRECT($S$1&amp;"!"&amp;"C28")</f>
        <v>0</v>
      </c>
      <c r="X20" s="126">
        <f ca="1">INDIRECT($S$1&amp;"!"&amp;"f28")</f>
        <v>0</v>
      </c>
      <c r="Y20" s="127">
        <f ca="1">INDIRECT($S$1&amp;"!"&amp;"j28")</f>
        <v>0</v>
      </c>
      <c r="Z20" s="127">
        <f ca="1">INDIRECT($S$1&amp;"!"&amp;"f30")</f>
        <v>0</v>
      </c>
      <c r="AA20" s="127">
        <f ca="1">INDIRECT($S$1&amp;"!"&amp;"f31")</f>
        <v>0</v>
      </c>
      <c r="AB20" s="139">
        <f ca="1">INDIRECT($S$1&amp;"!"&amp;"f32")</f>
        <v>0</v>
      </c>
      <c r="AC20" s="127">
        <f ca="1">INDIRECT($S$1&amp;"!"&amp;"f33")</f>
        <v>0</v>
      </c>
      <c r="AD20" s="128">
        <f ca="1">NOW()</f>
        <v>41460.41183009259</v>
      </c>
      <c r="AE20" s="94"/>
      <c r="AF20" s="129" t="b">
        <f>IF(AC20&gt;"a",TRUE)</f>
        <v>0</v>
      </c>
      <c r="AG20" s="258" t="s">
        <v>185</v>
      </c>
      <c r="AH20" s="356" t="s">
        <v>186</v>
      </c>
      <c r="AI20" s="359" t="s">
        <v>1174</v>
      </c>
      <c r="AJ20" s="130" t="b">
        <f>IF(status="E",FALSE,TRUE)</f>
        <v>0</v>
      </c>
      <c r="AK20" s="40"/>
    </row>
    <row r="21" spans="2:37" s="114" customFormat="1" ht="15.75" customHeight="1">
      <c r="B21" s="236"/>
      <c r="C21" s="505" t="str">
        <f>IF(CurM2=1,Text1,IF(MemU2=1,"",Text2))</f>
        <v>Please tick the box on the Membership screen before entering contact details.</v>
      </c>
      <c r="D21" s="228" t="s">
        <v>1865</v>
      </c>
      <c r="E21" s="116"/>
      <c r="F21" s="116"/>
      <c r="G21" s="483"/>
      <c r="H21" s="483"/>
      <c r="I21" s="483"/>
      <c r="J21" s="483"/>
      <c r="K21" s="483"/>
      <c r="L21" s="483"/>
      <c r="M21" s="483"/>
      <c r="N21" s="484"/>
      <c r="O21" s="231"/>
      <c r="Q21" s="40"/>
      <c r="R21" s="40"/>
      <c r="S21" s="40"/>
      <c r="T21" s="40"/>
      <c r="U21" s="40"/>
      <c r="V21" s="40"/>
      <c r="W21" s="40"/>
      <c r="X21" s="40"/>
      <c r="Y21" s="40"/>
      <c r="Z21" s="40"/>
      <c r="AA21" s="40"/>
      <c r="AB21" s="40"/>
      <c r="AC21" s="40"/>
      <c r="AD21" s="40"/>
      <c r="AE21" s="40"/>
      <c r="AF21" s="453" t="str">
        <f>IF(AVERAGEA(AF3:AF20)&lt;&gt;1,"Club email missing","ok")</f>
        <v>Club email missing</v>
      </c>
      <c r="AG21" s="453" t="str">
        <f>IF(AG20=FALSE,"Originator address changed","ok")</f>
        <v>ok</v>
      </c>
      <c r="AH21" s="453" t="str">
        <f>IF(AH20=FALSE,"Originator email changed","ok")</f>
        <v>ok</v>
      </c>
      <c r="AI21" s="453" t="str">
        <f>IF(AI20=FALSE,"Purchase Order missing","ok")</f>
        <v>ok</v>
      </c>
      <c r="AJ21" s="453" t="str">
        <f>IF(AJ20=FALSE,"Clubs not ticked","ok")</f>
        <v>Clubs not ticked</v>
      </c>
      <c r="AK21" s="40"/>
    </row>
    <row r="22" spans="2:36" s="114" customFormat="1" ht="15.75" customHeight="1">
      <c r="B22" s="236"/>
      <c r="C22" s="505"/>
      <c r="D22" s="228" t="s">
        <v>2196</v>
      </c>
      <c r="E22" s="116"/>
      <c r="F22" s="116"/>
      <c r="G22" s="483"/>
      <c r="H22" s="483"/>
      <c r="I22" s="483"/>
      <c r="J22" s="483"/>
      <c r="K22" s="483"/>
      <c r="L22" s="483"/>
      <c r="M22" s="483"/>
      <c r="N22" s="484"/>
      <c r="O22" s="231"/>
      <c r="Q22" s="40"/>
      <c r="R22" s="40"/>
      <c r="S22" s="40"/>
      <c r="T22" s="40"/>
      <c r="U22" s="40" t="s">
        <v>2173</v>
      </c>
      <c r="V22" s="131">
        <f ca="1">TEXT(INDIRECT($S$1&amp;"!"&amp;"g14"),"#")</f>
      </c>
      <c r="W22" s="40"/>
      <c r="X22" s="40"/>
      <c r="Y22" s="40"/>
      <c r="Z22" s="40"/>
      <c r="AA22" s="40"/>
      <c r="AB22" s="40"/>
      <c r="AC22" s="40"/>
      <c r="AD22" s="40"/>
      <c r="AE22" s="40"/>
      <c r="AF22" s="450"/>
      <c r="AG22" s="450"/>
      <c r="AH22" s="450"/>
      <c r="AI22" s="450"/>
      <c r="AJ22" s="450"/>
    </row>
    <row r="23" spans="2:36" s="114" customFormat="1" ht="15.75" customHeight="1">
      <c r="B23" s="242"/>
      <c r="C23" s="505"/>
      <c r="D23" s="228" t="s">
        <v>2468</v>
      </c>
      <c r="E23" s="116"/>
      <c r="F23" s="116"/>
      <c r="G23" s="485"/>
      <c r="H23" s="485"/>
      <c r="I23" s="485"/>
      <c r="J23" s="485"/>
      <c r="K23" s="485"/>
      <c r="L23" s="485"/>
      <c r="M23" s="485"/>
      <c r="N23" s="486"/>
      <c r="O23" s="228"/>
      <c r="Q23" s="40"/>
      <c r="R23" s="40"/>
      <c r="S23" s="40"/>
      <c r="T23" s="40"/>
      <c r="U23" s="40" t="s">
        <v>2174</v>
      </c>
      <c r="V23" s="131">
        <f ca="1">TEXT(INDIRECT($S$1&amp;"!"&amp;"g15"),"#")</f>
      </c>
      <c r="W23" s="40"/>
      <c r="X23" s="40"/>
      <c r="Y23" s="40"/>
      <c r="Z23" s="40"/>
      <c r="AA23" s="40"/>
      <c r="AB23" s="40"/>
      <c r="AC23" s="40"/>
      <c r="AD23" s="40"/>
      <c r="AE23" s="40"/>
      <c r="AF23" s="142"/>
      <c r="AG23" s="142"/>
      <c r="AH23" s="142"/>
      <c r="AI23" s="142"/>
      <c r="AJ23" s="365" t="s">
        <v>182</v>
      </c>
    </row>
    <row r="24" spans="2:37" s="114" customFormat="1" ht="15.75" customHeight="1" thickBot="1">
      <c r="B24" s="238"/>
      <c r="C24" s="506"/>
      <c r="D24" s="239" t="s">
        <v>2171</v>
      </c>
      <c r="E24" s="240"/>
      <c r="F24" s="240"/>
      <c r="G24" s="487">
        <f>IF(OEMA=0,"",OEMA)</f>
      </c>
      <c r="H24" s="487"/>
      <c r="I24" s="487"/>
      <c r="J24" s="487"/>
      <c r="K24" s="487"/>
      <c r="L24" s="487"/>
      <c r="M24" s="487"/>
      <c r="N24" s="488"/>
      <c r="O24" s="120"/>
      <c r="Q24" s="40"/>
      <c r="R24" s="40"/>
      <c r="S24" s="40"/>
      <c r="T24" s="40"/>
      <c r="U24" s="40" t="s">
        <v>1308</v>
      </c>
      <c r="V24" s="131">
        <f ca="1">TEXT(INDIRECT($S$1&amp;"!"&amp;"g16"),"#")</f>
      </c>
      <c r="W24" s="40"/>
      <c r="X24" s="40"/>
      <c r="Y24" s="40"/>
      <c r="Z24" s="40"/>
      <c r="AA24" s="40"/>
      <c r="AB24" s="40"/>
      <c r="AC24" s="40"/>
      <c r="AD24" s="40"/>
      <c r="AE24" s="40"/>
      <c r="AF24" s="40"/>
      <c r="AG24" s="40"/>
      <c r="AH24" s="40"/>
      <c r="AI24" s="40"/>
      <c r="AJ24" s="40"/>
      <c r="AK24" s="40"/>
    </row>
    <row r="25" spans="2:36" s="114" customFormat="1" ht="12" customHeight="1" thickTop="1">
      <c r="B25" s="232"/>
      <c r="C25" s="241"/>
      <c r="D25" s="241"/>
      <c r="E25" s="241"/>
      <c r="F25" s="241"/>
      <c r="G25" s="447"/>
      <c r="H25" s="447"/>
      <c r="I25" s="447"/>
      <c r="J25" s="447"/>
      <c r="K25" s="447"/>
      <c r="L25" s="447"/>
      <c r="M25" s="447"/>
      <c r="N25" s="448"/>
      <c r="O25" s="120"/>
      <c r="R25" s="40"/>
      <c r="S25" s="40"/>
      <c r="T25" s="40"/>
      <c r="U25" s="40" t="s">
        <v>54</v>
      </c>
      <c r="V25" s="131">
        <f ca="1">TEXT(INDIRECT($S$1&amp;"!"&amp;"g17"),"#")</f>
      </c>
      <c r="W25" s="40"/>
      <c r="X25" s="40"/>
      <c r="Y25" s="40"/>
      <c r="Z25" s="40"/>
      <c r="AA25" s="40"/>
      <c r="AB25" s="40"/>
      <c r="AC25" s="40"/>
      <c r="AD25" s="40"/>
      <c r="AE25" s="40"/>
      <c r="AF25" s="40"/>
      <c r="AG25" s="40"/>
      <c r="AH25" s="40"/>
      <c r="AI25" s="40"/>
      <c r="AJ25" s="40"/>
    </row>
    <row r="26" spans="2:15" s="114" customFormat="1" ht="15.75" customHeight="1">
      <c r="B26" s="234"/>
      <c r="C26" s="498" t="s">
        <v>2455</v>
      </c>
      <c r="D26" s="148" t="s">
        <v>2172</v>
      </c>
      <c r="E26" s="449" t="s">
        <v>1264</v>
      </c>
      <c r="F26" s="148"/>
      <c r="G26" s="148" t="s">
        <v>2244</v>
      </c>
      <c r="H26" s="445"/>
      <c r="I26" s="445"/>
      <c r="J26" s="445"/>
      <c r="K26" s="148" t="s">
        <v>2245</v>
      </c>
      <c r="L26" s="445"/>
      <c r="M26" s="445"/>
      <c r="N26" s="446"/>
      <c r="O26" s="228"/>
    </row>
    <row r="27" spans="2:15" s="114" customFormat="1" ht="15.75" customHeight="1">
      <c r="B27" s="236"/>
      <c r="C27" s="498"/>
      <c r="D27" s="483"/>
      <c r="E27" s="483"/>
      <c r="F27" s="116"/>
      <c r="G27" s="483"/>
      <c r="H27" s="483"/>
      <c r="I27" s="483"/>
      <c r="J27" s="117"/>
      <c r="K27" s="483"/>
      <c r="L27" s="483"/>
      <c r="M27" s="483"/>
      <c r="N27" s="484"/>
      <c r="O27" s="230"/>
    </row>
    <row r="28" spans="2:36" s="114" customFormat="1" ht="4.5" customHeight="1">
      <c r="B28" s="236"/>
      <c r="C28" s="119"/>
      <c r="D28" s="117"/>
      <c r="E28" s="120"/>
      <c r="F28" s="116"/>
      <c r="G28" s="117"/>
      <c r="H28" s="117"/>
      <c r="I28" s="117"/>
      <c r="J28" s="117"/>
      <c r="K28" s="117"/>
      <c r="L28" s="117"/>
      <c r="M28" s="117"/>
      <c r="N28" s="235"/>
      <c r="O28" s="230"/>
      <c r="Q28" s="40"/>
      <c r="S28" s="40"/>
      <c r="T28" s="40"/>
      <c r="W28" s="40"/>
      <c r="X28" s="40"/>
      <c r="Y28" s="40"/>
      <c r="Z28" s="40"/>
      <c r="AA28" s="40"/>
      <c r="AB28" s="40"/>
      <c r="AC28" s="40"/>
      <c r="AD28" s="40"/>
      <c r="AE28" s="40"/>
      <c r="AF28" s="40"/>
      <c r="AG28" s="40"/>
      <c r="AH28" s="40"/>
      <c r="AI28" s="40"/>
      <c r="AJ28" s="40"/>
    </row>
    <row r="29" spans="2:18" s="114" customFormat="1" ht="15.75" customHeight="1">
      <c r="B29" s="236"/>
      <c r="C29" s="505" t="str">
        <f>IF(CurM3=1,Text1,IF(MemU3=1,"",Text2))</f>
        <v>Please tick the box on the Membership screen before entering contact details.</v>
      </c>
      <c r="D29" s="228" t="s">
        <v>1865</v>
      </c>
      <c r="E29" s="116"/>
      <c r="F29" s="116"/>
      <c r="G29" s="483"/>
      <c r="H29" s="483"/>
      <c r="I29" s="483"/>
      <c r="J29" s="483"/>
      <c r="K29" s="483"/>
      <c r="L29" s="483"/>
      <c r="M29" s="483"/>
      <c r="N29" s="484"/>
      <c r="O29" s="231"/>
      <c r="R29" s="114" t="str">
        <f>"This club has already been joined for "&amp;MemYear&amp;". Contact details are not required again."</f>
        <v>This club has already been joined for 2013. Contact details are not required again.</v>
      </c>
    </row>
    <row r="30" spans="2:18" s="114" customFormat="1" ht="15.75" customHeight="1">
      <c r="B30" s="236"/>
      <c r="C30" s="505"/>
      <c r="D30" s="228" t="s">
        <v>2196</v>
      </c>
      <c r="E30" s="116"/>
      <c r="F30" s="116"/>
      <c r="G30" s="483"/>
      <c r="H30" s="483"/>
      <c r="I30" s="483"/>
      <c r="J30" s="483"/>
      <c r="K30" s="483"/>
      <c r="L30" s="483"/>
      <c r="M30" s="483"/>
      <c r="N30" s="484"/>
      <c r="O30" s="231"/>
      <c r="R30" s="40" t="s">
        <v>196</v>
      </c>
    </row>
    <row r="31" spans="2:18" s="114" customFormat="1" ht="15.75" customHeight="1">
      <c r="B31" s="242"/>
      <c r="C31" s="505"/>
      <c r="D31" s="228" t="s">
        <v>2468</v>
      </c>
      <c r="E31" s="116"/>
      <c r="F31" s="116"/>
      <c r="G31" s="485"/>
      <c r="H31" s="485"/>
      <c r="I31" s="485"/>
      <c r="J31" s="485"/>
      <c r="K31" s="485"/>
      <c r="L31" s="485"/>
      <c r="M31" s="485"/>
      <c r="N31" s="486"/>
      <c r="O31" s="228"/>
      <c r="R31" s="114" t="s">
        <v>198</v>
      </c>
    </row>
    <row r="32" spans="2:15" s="114" customFormat="1" ht="15.75" customHeight="1" thickBot="1">
      <c r="B32" s="238"/>
      <c r="C32" s="506"/>
      <c r="D32" s="239" t="s">
        <v>2171</v>
      </c>
      <c r="E32" s="240"/>
      <c r="F32" s="240"/>
      <c r="G32" s="487">
        <f>IF(OEMA=0,"",OEMA)</f>
      </c>
      <c r="H32" s="487"/>
      <c r="I32" s="487"/>
      <c r="J32" s="487"/>
      <c r="K32" s="487"/>
      <c r="L32" s="487"/>
      <c r="M32" s="487"/>
      <c r="N32" s="488"/>
      <c r="O32" s="120"/>
    </row>
    <row r="33" spans="2:15" s="114" customFormat="1" ht="12" customHeight="1" thickTop="1">
      <c r="B33" s="232"/>
      <c r="C33" s="241"/>
      <c r="D33" s="241"/>
      <c r="E33" s="241"/>
      <c r="F33" s="241"/>
      <c r="G33" s="447"/>
      <c r="H33" s="447"/>
      <c r="I33" s="447"/>
      <c r="J33" s="447"/>
      <c r="K33" s="447"/>
      <c r="L33" s="447"/>
      <c r="M33" s="447"/>
      <c r="N33" s="448"/>
      <c r="O33" s="120"/>
    </row>
    <row r="34" spans="2:15" s="114" customFormat="1" ht="15.75" customHeight="1">
      <c r="B34" s="234"/>
      <c r="C34" s="498" t="s">
        <v>2151</v>
      </c>
      <c r="D34" s="148" t="s">
        <v>2172</v>
      </c>
      <c r="E34" s="449" t="s">
        <v>1264</v>
      </c>
      <c r="F34" s="121"/>
      <c r="G34" s="148" t="s">
        <v>2244</v>
      </c>
      <c r="H34" s="445"/>
      <c r="I34" s="445"/>
      <c r="J34" s="445"/>
      <c r="K34" s="148" t="s">
        <v>2245</v>
      </c>
      <c r="L34" s="445"/>
      <c r="M34" s="445"/>
      <c r="N34" s="446"/>
      <c r="O34" s="228"/>
    </row>
    <row r="35" spans="2:37" s="114" customFormat="1" ht="15.75" customHeight="1">
      <c r="B35" s="236"/>
      <c r="C35" s="498"/>
      <c r="D35" s="483"/>
      <c r="E35" s="483"/>
      <c r="F35" s="116"/>
      <c r="G35" s="483"/>
      <c r="H35" s="483"/>
      <c r="I35" s="483"/>
      <c r="J35" s="117"/>
      <c r="K35" s="483"/>
      <c r="L35" s="483"/>
      <c r="M35" s="483"/>
      <c r="N35" s="484"/>
      <c r="O35" s="230"/>
      <c r="Q35" s="40"/>
      <c r="R35" s="40"/>
      <c r="S35" s="40"/>
      <c r="T35" s="40"/>
      <c r="U35" s="40"/>
      <c r="V35" s="40"/>
      <c r="W35" s="40"/>
      <c r="X35" s="40"/>
      <c r="Y35" s="40"/>
      <c r="Z35" s="40"/>
      <c r="AA35" s="40"/>
      <c r="AB35" s="40"/>
      <c r="AC35" s="40"/>
      <c r="AD35" s="40"/>
      <c r="AE35" s="40"/>
      <c r="AF35" s="40"/>
      <c r="AG35" s="40"/>
      <c r="AH35" s="40"/>
      <c r="AI35" s="40"/>
      <c r="AJ35" s="40"/>
      <c r="AK35" s="40"/>
    </row>
    <row r="36" spans="2:37" s="114" customFormat="1" ht="4.5" customHeight="1">
      <c r="B36" s="236"/>
      <c r="C36" s="120"/>
      <c r="D36" s="117"/>
      <c r="E36" s="120"/>
      <c r="F36" s="116"/>
      <c r="G36" s="117"/>
      <c r="H36" s="117"/>
      <c r="I36" s="117"/>
      <c r="J36" s="117"/>
      <c r="K36" s="117"/>
      <c r="L36" s="117"/>
      <c r="M36" s="117"/>
      <c r="N36" s="235"/>
      <c r="O36" s="230"/>
      <c r="Q36" s="40"/>
      <c r="R36" s="40"/>
      <c r="S36" s="40"/>
      <c r="T36" s="40"/>
      <c r="U36" s="40"/>
      <c r="V36" s="40"/>
      <c r="W36" s="40"/>
      <c r="X36" s="40"/>
      <c r="Y36" s="40"/>
      <c r="Z36" s="40"/>
      <c r="AA36" s="40"/>
      <c r="AB36" s="40"/>
      <c r="AC36" s="40"/>
      <c r="AD36" s="40"/>
      <c r="AE36" s="40"/>
      <c r="AF36" s="40"/>
      <c r="AG36" s="40"/>
      <c r="AH36" s="40"/>
      <c r="AI36" s="40"/>
      <c r="AJ36" s="40"/>
      <c r="AK36" s="40"/>
    </row>
    <row r="37" spans="2:37" s="114" customFormat="1" ht="15.75" customHeight="1">
      <c r="B37" s="236"/>
      <c r="C37" s="505" t="str">
        <f>IF(ISERROR(Price4),Text2,IF(CurM4=1,Text1,IF(OR(MemU4=1,Price4=0),"",Text2)))</f>
        <v>Please tick the box on the Membership screen before entering contact details.</v>
      </c>
      <c r="D37" s="228" t="s">
        <v>1865</v>
      </c>
      <c r="E37" s="120"/>
      <c r="F37" s="116"/>
      <c r="G37" s="483"/>
      <c r="H37" s="483"/>
      <c r="I37" s="483"/>
      <c r="J37" s="483"/>
      <c r="K37" s="483"/>
      <c r="L37" s="483"/>
      <c r="M37" s="483"/>
      <c r="N37" s="484"/>
      <c r="O37" s="231"/>
      <c r="Q37" s="40"/>
      <c r="R37" s="40"/>
      <c r="S37" s="40"/>
      <c r="T37" s="40"/>
      <c r="U37" s="40"/>
      <c r="V37" s="40"/>
      <c r="W37" s="40"/>
      <c r="X37" s="40"/>
      <c r="Y37" s="40"/>
      <c r="Z37" s="40"/>
      <c r="AA37" s="40"/>
      <c r="AB37" s="40"/>
      <c r="AC37" s="40"/>
      <c r="AD37" s="40"/>
      <c r="AE37" s="40"/>
      <c r="AF37" s="40"/>
      <c r="AG37" s="40"/>
      <c r="AH37" s="40"/>
      <c r="AI37" s="40"/>
      <c r="AJ37" s="40"/>
      <c r="AK37" s="40"/>
    </row>
    <row r="38" spans="2:37" s="114" customFormat="1" ht="15.75" customHeight="1">
      <c r="B38" s="236"/>
      <c r="C38" s="505"/>
      <c r="D38" s="228" t="s">
        <v>2196</v>
      </c>
      <c r="E38" s="116"/>
      <c r="F38" s="116"/>
      <c r="G38" s="483"/>
      <c r="H38" s="483"/>
      <c r="I38" s="483"/>
      <c r="J38" s="483"/>
      <c r="K38" s="483"/>
      <c r="L38" s="483"/>
      <c r="M38" s="483"/>
      <c r="N38" s="484"/>
      <c r="O38" s="231"/>
      <c r="Q38" s="40"/>
      <c r="R38" s="40"/>
      <c r="S38" s="40"/>
      <c r="T38" s="40"/>
      <c r="U38" s="40"/>
      <c r="V38" s="40"/>
      <c r="W38" s="40"/>
      <c r="X38" s="40"/>
      <c r="Y38" s="40"/>
      <c r="Z38" s="40"/>
      <c r="AA38" s="40"/>
      <c r="AB38" s="40"/>
      <c r="AC38" s="40"/>
      <c r="AD38" s="40"/>
      <c r="AE38" s="40"/>
      <c r="AF38" s="40"/>
      <c r="AG38" s="40"/>
      <c r="AH38" s="40"/>
      <c r="AI38" s="40"/>
      <c r="AJ38" s="40"/>
      <c r="AK38" s="40"/>
    </row>
    <row r="39" spans="2:37" s="114" customFormat="1" ht="15.75" customHeight="1">
      <c r="B39" s="242"/>
      <c r="C39" s="505"/>
      <c r="D39" s="228" t="s">
        <v>2468</v>
      </c>
      <c r="E39" s="116"/>
      <c r="F39" s="116"/>
      <c r="G39" s="485"/>
      <c r="H39" s="485"/>
      <c r="I39" s="485"/>
      <c r="J39" s="485"/>
      <c r="K39" s="485"/>
      <c r="L39" s="485"/>
      <c r="M39" s="485"/>
      <c r="N39" s="486"/>
      <c r="O39" s="228"/>
      <c r="Q39" s="40"/>
      <c r="R39" s="40"/>
      <c r="S39" s="40"/>
      <c r="T39" s="40"/>
      <c r="U39" s="40"/>
      <c r="V39" s="40"/>
      <c r="W39" s="40"/>
      <c r="X39" s="40"/>
      <c r="Y39" s="40"/>
      <c r="Z39" s="40"/>
      <c r="AA39" s="40"/>
      <c r="AB39" s="40"/>
      <c r="AC39" s="40"/>
      <c r="AD39" s="40"/>
      <c r="AE39" s="40"/>
      <c r="AF39" s="40"/>
      <c r="AG39" s="40"/>
      <c r="AH39" s="40"/>
      <c r="AI39" s="40"/>
      <c r="AJ39" s="40"/>
      <c r="AK39" s="40"/>
    </row>
    <row r="40" spans="2:37" s="114" customFormat="1" ht="15.75" customHeight="1" thickBot="1">
      <c r="B40" s="238"/>
      <c r="C40" s="506"/>
      <c r="D40" s="239" t="s">
        <v>2171</v>
      </c>
      <c r="E40" s="240"/>
      <c r="F40" s="240"/>
      <c r="G40" s="487">
        <f>IF(OEMA=0,"",OEMA)</f>
      </c>
      <c r="H40" s="487"/>
      <c r="I40" s="487"/>
      <c r="J40" s="487"/>
      <c r="K40" s="487"/>
      <c r="L40" s="487"/>
      <c r="M40" s="487"/>
      <c r="N40" s="488"/>
      <c r="O40" s="120"/>
      <c r="Q40" s="40"/>
      <c r="R40" s="40"/>
      <c r="S40" s="40"/>
      <c r="T40" s="40"/>
      <c r="U40" s="40"/>
      <c r="V40" s="40"/>
      <c r="W40" s="40"/>
      <c r="X40" s="40"/>
      <c r="Y40" s="40"/>
      <c r="Z40" s="40"/>
      <c r="AA40" s="40"/>
      <c r="AB40" s="40"/>
      <c r="AC40" s="40"/>
      <c r="AD40" s="40"/>
      <c r="AE40" s="40"/>
      <c r="AF40" s="40"/>
      <c r="AG40" s="40"/>
      <c r="AH40" s="40"/>
      <c r="AI40" s="40"/>
      <c r="AJ40" s="40"/>
      <c r="AK40" s="40"/>
    </row>
    <row r="41" spans="2:37" s="114" customFormat="1" ht="12" customHeight="1" thickTop="1">
      <c r="B41" s="232"/>
      <c r="C41" s="241"/>
      <c r="D41" s="241"/>
      <c r="E41" s="241"/>
      <c r="F41" s="241"/>
      <c r="G41" s="447"/>
      <c r="H41" s="447"/>
      <c r="I41" s="447"/>
      <c r="J41" s="447"/>
      <c r="K41" s="447"/>
      <c r="L41" s="447"/>
      <c r="M41" s="447"/>
      <c r="N41" s="448"/>
      <c r="O41" s="120"/>
      <c r="Q41" s="40"/>
      <c r="R41" s="40"/>
      <c r="S41" s="40"/>
      <c r="T41" s="40"/>
      <c r="U41" s="40"/>
      <c r="V41" s="40"/>
      <c r="W41" s="40"/>
      <c r="X41" s="40"/>
      <c r="Y41" s="40"/>
      <c r="Z41" s="40"/>
      <c r="AA41" s="40"/>
      <c r="AB41" s="40"/>
      <c r="AC41" s="40"/>
      <c r="AD41" s="40"/>
      <c r="AE41" s="40"/>
      <c r="AF41" s="40"/>
      <c r="AG41" s="40"/>
      <c r="AH41" s="40"/>
      <c r="AI41" s="40"/>
      <c r="AJ41" s="40"/>
      <c r="AK41" s="40"/>
    </row>
    <row r="42" spans="2:37" s="114" customFormat="1" ht="15.75" customHeight="1">
      <c r="B42" s="234"/>
      <c r="C42" s="498" t="s">
        <v>1442</v>
      </c>
      <c r="D42" s="148" t="s">
        <v>2172</v>
      </c>
      <c r="E42" s="449" t="s">
        <v>1264</v>
      </c>
      <c r="F42" s="121"/>
      <c r="G42" s="148" t="s">
        <v>2244</v>
      </c>
      <c r="H42" s="445"/>
      <c r="I42" s="445"/>
      <c r="J42" s="445"/>
      <c r="K42" s="148" t="s">
        <v>2245</v>
      </c>
      <c r="L42" s="445"/>
      <c r="M42" s="445"/>
      <c r="N42" s="446"/>
      <c r="O42" s="228"/>
      <c r="Q42" s="40"/>
      <c r="R42" s="40"/>
      <c r="S42" s="40"/>
      <c r="T42" s="40"/>
      <c r="U42" s="40"/>
      <c r="V42" s="40"/>
      <c r="W42" s="40"/>
      <c r="X42" s="40"/>
      <c r="Y42" s="40"/>
      <c r="Z42" s="40"/>
      <c r="AA42" s="40"/>
      <c r="AB42" s="40"/>
      <c r="AC42" s="40"/>
      <c r="AD42" s="40"/>
      <c r="AE42" s="40"/>
      <c r="AF42" s="40"/>
      <c r="AG42" s="40"/>
      <c r="AH42" s="40"/>
      <c r="AI42" s="40"/>
      <c r="AJ42" s="40"/>
      <c r="AK42" s="40"/>
    </row>
    <row r="43" spans="2:37" s="114" customFormat="1" ht="15.75" customHeight="1">
      <c r="B43" s="236"/>
      <c r="C43" s="498"/>
      <c r="D43" s="483"/>
      <c r="E43" s="483"/>
      <c r="F43" s="116"/>
      <c r="G43" s="483"/>
      <c r="H43" s="483"/>
      <c r="I43" s="483"/>
      <c r="J43" s="117"/>
      <c r="K43" s="483"/>
      <c r="L43" s="483"/>
      <c r="M43" s="483"/>
      <c r="N43" s="484"/>
      <c r="O43" s="230"/>
      <c r="Q43" s="40"/>
      <c r="R43" s="40"/>
      <c r="S43" s="40"/>
      <c r="T43" s="40"/>
      <c r="U43" s="40"/>
      <c r="V43" s="40"/>
      <c r="W43" s="40"/>
      <c r="X43" s="40"/>
      <c r="Y43" s="40"/>
      <c r="Z43" s="40"/>
      <c r="AA43" s="40"/>
      <c r="AB43" s="40"/>
      <c r="AC43" s="40"/>
      <c r="AD43" s="40"/>
      <c r="AE43" s="40"/>
      <c r="AF43" s="40"/>
      <c r="AG43" s="40"/>
      <c r="AH43" s="40"/>
      <c r="AI43" s="40"/>
      <c r="AJ43" s="40"/>
      <c r="AK43" s="40"/>
    </row>
    <row r="44" spans="2:37" s="114" customFormat="1" ht="4.5" customHeight="1">
      <c r="B44" s="236"/>
      <c r="C44" s="119"/>
      <c r="D44" s="117"/>
      <c r="E44" s="120"/>
      <c r="F44" s="116"/>
      <c r="G44" s="117"/>
      <c r="H44" s="117"/>
      <c r="I44" s="117"/>
      <c r="J44" s="117"/>
      <c r="K44" s="117"/>
      <c r="L44" s="117"/>
      <c r="M44" s="117"/>
      <c r="N44" s="235"/>
      <c r="O44" s="230"/>
      <c r="Q44" s="40"/>
      <c r="R44" s="40"/>
      <c r="S44" s="40"/>
      <c r="T44" s="40"/>
      <c r="U44" s="40"/>
      <c r="V44" s="40"/>
      <c r="W44" s="40"/>
      <c r="X44" s="40"/>
      <c r="Y44" s="40"/>
      <c r="Z44" s="40"/>
      <c r="AA44" s="40"/>
      <c r="AB44" s="40"/>
      <c r="AC44" s="40"/>
      <c r="AD44" s="40"/>
      <c r="AE44" s="40"/>
      <c r="AF44" s="40"/>
      <c r="AG44" s="40"/>
      <c r="AH44" s="40"/>
      <c r="AI44" s="40"/>
      <c r="AJ44" s="40"/>
      <c r="AK44" s="40"/>
    </row>
    <row r="45" spans="2:37" s="114" customFormat="1" ht="15.75" customHeight="1">
      <c r="B45" s="236"/>
      <c r="C45" s="505" t="str">
        <f>IF(ISERROR(Price5),Text2,IF(CurM5=1,Text1,IF(OR(MemU5=1,Price5=0),"",Text2)))</f>
        <v>Please tick the box on the Membership screen before entering contact details.</v>
      </c>
      <c r="D45" s="228" t="s">
        <v>1865</v>
      </c>
      <c r="E45" s="120"/>
      <c r="F45" s="116"/>
      <c r="G45" s="483"/>
      <c r="H45" s="483"/>
      <c r="I45" s="483"/>
      <c r="J45" s="483"/>
      <c r="K45" s="483"/>
      <c r="L45" s="483"/>
      <c r="M45" s="483"/>
      <c r="N45" s="484"/>
      <c r="O45" s="231"/>
      <c r="Q45" s="40"/>
      <c r="R45" s="40"/>
      <c r="S45" s="40"/>
      <c r="T45" s="40"/>
      <c r="U45" s="40"/>
      <c r="V45" s="40"/>
      <c r="W45" s="40"/>
      <c r="X45" s="40"/>
      <c r="Y45" s="40"/>
      <c r="Z45" s="40"/>
      <c r="AA45" s="40"/>
      <c r="AB45" s="40"/>
      <c r="AC45" s="40"/>
      <c r="AD45" s="40"/>
      <c r="AE45" s="40"/>
      <c r="AF45" s="40"/>
      <c r="AG45" s="40"/>
      <c r="AH45" s="40"/>
      <c r="AI45" s="40"/>
      <c r="AJ45" s="40"/>
      <c r="AK45" s="40"/>
    </row>
    <row r="46" spans="2:37" s="114" customFormat="1" ht="15.75" customHeight="1">
      <c r="B46" s="236"/>
      <c r="C46" s="505"/>
      <c r="D46" s="228" t="s">
        <v>2196</v>
      </c>
      <c r="E46" s="116"/>
      <c r="F46" s="116"/>
      <c r="G46" s="483"/>
      <c r="H46" s="483"/>
      <c r="I46" s="483"/>
      <c r="J46" s="483"/>
      <c r="K46" s="483"/>
      <c r="L46" s="483"/>
      <c r="M46" s="483"/>
      <c r="N46" s="484"/>
      <c r="O46" s="231"/>
      <c r="Q46" s="40"/>
      <c r="R46" s="40"/>
      <c r="S46" s="40"/>
      <c r="T46" s="40"/>
      <c r="U46" s="40"/>
      <c r="V46" s="40"/>
      <c r="W46" s="40"/>
      <c r="X46" s="40"/>
      <c r="Y46" s="40"/>
      <c r="Z46" s="40"/>
      <c r="AA46" s="40"/>
      <c r="AB46" s="40"/>
      <c r="AC46" s="40"/>
      <c r="AD46" s="40"/>
      <c r="AE46" s="40"/>
      <c r="AF46" s="40"/>
      <c r="AG46" s="40"/>
      <c r="AH46" s="40"/>
      <c r="AI46" s="40"/>
      <c r="AJ46" s="40"/>
      <c r="AK46" s="40"/>
    </row>
    <row r="47" spans="2:37" s="114" customFormat="1" ht="15.75" customHeight="1">
      <c r="B47" s="242"/>
      <c r="C47" s="505"/>
      <c r="D47" s="228" t="s">
        <v>2468</v>
      </c>
      <c r="E47" s="116"/>
      <c r="F47" s="116"/>
      <c r="G47" s="485"/>
      <c r="H47" s="485"/>
      <c r="I47" s="485"/>
      <c r="J47" s="485"/>
      <c r="K47" s="485"/>
      <c r="L47" s="485"/>
      <c r="M47" s="485"/>
      <c r="N47" s="486"/>
      <c r="O47" s="228"/>
      <c r="Q47" s="40"/>
      <c r="R47" s="40"/>
      <c r="S47" s="40"/>
      <c r="T47" s="40"/>
      <c r="U47" s="40"/>
      <c r="V47" s="40"/>
      <c r="W47" s="40"/>
      <c r="X47" s="40"/>
      <c r="Y47" s="40"/>
      <c r="Z47" s="40"/>
      <c r="AA47" s="40"/>
      <c r="AB47" s="40"/>
      <c r="AC47" s="40"/>
      <c r="AD47" s="40"/>
      <c r="AE47" s="40"/>
      <c r="AF47" s="40"/>
      <c r="AG47" s="40"/>
      <c r="AH47" s="40"/>
      <c r="AI47" s="40"/>
      <c r="AJ47" s="40"/>
      <c r="AK47" s="40"/>
    </row>
    <row r="48" spans="2:37" s="114" customFormat="1" ht="15.75" customHeight="1" thickBot="1">
      <c r="B48" s="238"/>
      <c r="C48" s="506"/>
      <c r="D48" s="239" t="s">
        <v>2171</v>
      </c>
      <c r="E48" s="240"/>
      <c r="F48" s="240"/>
      <c r="G48" s="487">
        <f>IF(OEMA=0,"",OEMA)</f>
      </c>
      <c r="H48" s="487"/>
      <c r="I48" s="487"/>
      <c r="J48" s="487"/>
      <c r="K48" s="487"/>
      <c r="L48" s="487"/>
      <c r="M48" s="487"/>
      <c r="N48" s="488"/>
      <c r="O48" s="120"/>
      <c r="Q48" s="40"/>
      <c r="R48" s="40"/>
      <c r="S48" s="40"/>
      <c r="T48" s="40"/>
      <c r="U48" s="40"/>
      <c r="V48" s="40"/>
      <c r="W48" s="40"/>
      <c r="X48" s="40"/>
      <c r="Y48" s="40"/>
      <c r="Z48" s="40"/>
      <c r="AA48" s="40"/>
      <c r="AB48" s="40"/>
      <c r="AC48" s="40"/>
      <c r="AD48" s="40"/>
      <c r="AE48" s="40"/>
      <c r="AF48" s="40"/>
      <c r="AG48" s="40"/>
      <c r="AH48" s="40"/>
      <c r="AI48" s="40"/>
      <c r="AJ48" s="40"/>
      <c r="AK48" s="40"/>
    </row>
    <row r="49" spans="2:37" s="114" customFormat="1" ht="12" customHeight="1" thickTop="1">
      <c r="B49" s="232"/>
      <c r="C49" s="241"/>
      <c r="D49" s="241"/>
      <c r="E49" s="241"/>
      <c r="F49" s="241"/>
      <c r="G49" s="447"/>
      <c r="H49" s="447"/>
      <c r="I49" s="447"/>
      <c r="J49" s="447"/>
      <c r="K49" s="447"/>
      <c r="L49" s="447"/>
      <c r="M49" s="447"/>
      <c r="N49" s="448"/>
      <c r="O49" s="120"/>
      <c r="Q49" s="40"/>
      <c r="R49" s="40"/>
      <c r="S49" s="40"/>
      <c r="T49" s="40"/>
      <c r="U49" s="40"/>
      <c r="V49" s="40"/>
      <c r="W49" s="40"/>
      <c r="X49" s="40"/>
      <c r="Y49" s="40"/>
      <c r="Z49" s="40"/>
      <c r="AA49" s="40"/>
      <c r="AB49" s="40"/>
      <c r="AC49" s="40"/>
      <c r="AD49" s="40"/>
      <c r="AE49" s="40"/>
      <c r="AF49" s="40"/>
      <c r="AG49" s="40"/>
      <c r="AH49" s="40"/>
      <c r="AI49" s="40"/>
      <c r="AJ49" s="40"/>
      <c r="AK49" s="40"/>
    </row>
    <row r="50" spans="2:37" s="114" customFormat="1" ht="15.75" customHeight="1">
      <c r="B50" s="234"/>
      <c r="C50" s="498" t="s">
        <v>35</v>
      </c>
      <c r="D50" s="148" t="s">
        <v>2172</v>
      </c>
      <c r="E50" s="449" t="s">
        <v>1264</v>
      </c>
      <c r="F50" s="121"/>
      <c r="G50" s="148" t="s">
        <v>2244</v>
      </c>
      <c r="H50" s="445"/>
      <c r="I50" s="445"/>
      <c r="J50" s="445"/>
      <c r="K50" s="148" t="s">
        <v>2245</v>
      </c>
      <c r="L50" s="445"/>
      <c r="M50" s="445"/>
      <c r="N50" s="446"/>
      <c r="O50" s="228"/>
      <c r="Q50" s="40"/>
      <c r="R50" s="40"/>
      <c r="S50" s="40"/>
      <c r="T50" s="40"/>
      <c r="U50" s="40"/>
      <c r="V50" s="40"/>
      <c r="W50" s="40"/>
      <c r="X50" s="40"/>
      <c r="Y50" s="40"/>
      <c r="Z50" s="40"/>
      <c r="AA50" s="40"/>
      <c r="AB50" s="40"/>
      <c r="AC50" s="40"/>
      <c r="AD50" s="40"/>
      <c r="AE50" s="40"/>
      <c r="AF50" s="40"/>
      <c r="AG50" s="40"/>
      <c r="AH50" s="40"/>
      <c r="AI50" s="40"/>
      <c r="AJ50" s="40"/>
      <c r="AK50" s="40"/>
    </row>
    <row r="51" spans="2:37" s="114" customFormat="1" ht="15.75" customHeight="1">
      <c r="B51" s="236"/>
      <c r="C51" s="498"/>
      <c r="D51" s="483"/>
      <c r="E51" s="483"/>
      <c r="F51" s="116"/>
      <c r="G51" s="483"/>
      <c r="H51" s="483"/>
      <c r="I51" s="483"/>
      <c r="J51" s="117"/>
      <c r="K51" s="483"/>
      <c r="L51" s="483"/>
      <c r="M51" s="483"/>
      <c r="N51" s="484"/>
      <c r="O51" s="230"/>
      <c r="Q51" s="40"/>
      <c r="R51" s="40"/>
      <c r="S51" s="40"/>
      <c r="T51" s="40"/>
      <c r="U51" s="40"/>
      <c r="V51" s="40"/>
      <c r="W51" s="40"/>
      <c r="X51" s="40"/>
      <c r="Y51" s="40"/>
      <c r="Z51" s="40"/>
      <c r="AA51" s="40"/>
      <c r="AB51" s="40"/>
      <c r="AC51" s="40"/>
      <c r="AD51" s="40"/>
      <c r="AE51" s="40"/>
      <c r="AF51" s="40"/>
      <c r="AG51" s="40"/>
      <c r="AH51" s="40"/>
      <c r="AI51" s="40"/>
      <c r="AJ51" s="40"/>
      <c r="AK51" s="40"/>
    </row>
    <row r="52" spans="2:37" s="114" customFormat="1" ht="4.5" customHeight="1">
      <c r="B52" s="236"/>
      <c r="C52" s="119"/>
      <c r="D52" s="117"/>
      <c r="E52" s="120"/>
      <c r="F52" s="116"/>
      <c r="G52" s="117"/>
      <c r="H52" s="117"/>
      <c r="I52" s="117"/>
      <c r="J52" s="117"/>
      <c r="K52" s="117"/>
      <c r="L52" s="117"/>
      <c r="M52" s="117"/>
      <c r="N52" s="235"/>
      <c r="O52" s="230"/>
      <c r="Q52" s="40"/>
      <c r="R52" s="40"/>
      <c r="S52" s="40"/>
      <c r="T52" s="40"/>
      <c r="U52" s="40"/>
      <c r="V52" s="40"/>
      <c r="W52" s="40"/>
      <c r="X52" s="40"/>
      <c r="Y52" s="40"/>
      <c r="Z52" s="40"/>
      <c r="AA52" s="40"/>
      <c r="AB52" s="40"/>
      <c r="AC52" s="40"/>
      <c r="AD52" s="40"/>
      <c r="AE52" s="40"/>
      <c r="AF52" s="40"/>
      <c r="AG52" s="40"/>
      <c r="AH52" s="40"/>
      <c r="AI52" s="40"/>
      <c r="AJ52" s="40"/>
      <c r="AK52" s="40"/>
    </row>
    <row r="53" spans="2:37" s="114" customFormat="1" ht="15.75" customHeight="1">
      <c r="B53" s="236"/>
      <c r="C53" s="505" t="str">
        <f>IF(CurM6=1,Text1,IF(MemU6=1,"",Text2))</f>
        <v>Please tick the box on the Membership screen before entering contact details.</v>
      </c>
      <c r="D53" s="228" t="s">
        <v>1865</v>
      </c>
      <c r="E53" s="120"/>
      <c r="F53" s="116"/>
      <c r="G53" s="483"/>
      <c r="H53" s="483"/>
      <c r="I53" s="483"/>
      <c r="J53" s="483"/>
      <c r="K53" s="483"/>
      <c r="L53" s="483"/>
      <c r="M53" s="483"/>
      <c r="N53" s="484"/>
      <c r="O53" s="231"/>
      <c r="Q53" s="40"/>
      <c r="R53" s="40"/>
      <c r="S53" s="40"/>
      <c r="T53" s="40"/>
      <c r="U53" s="40"/>
      <c r="V53" s="40"/>
      <c r="W53" s="40"/>
      <c r="X53" s="40"/>
      <c r="Y53" s="40"/>
      <c r="Z53" s="40"/>
      <c r="AA53" s="40"/>
      <c r="AB53" s="40"/>
      <c r="AC53" s="40"/>
      <c r="AD53" s="40"/>
      <c r="AE53" s="40"/>
      <c r="AF53" s="40"/>
      <c r="AG53" s="40"/>
      <c r="AH53" s="40"/>
      <c r="AI53" s="40"/>
      <c r="AJ53" s="40"/>
      <c r="AK53" s="40"/>
    </row>
    <row r="54" spans="2:37" s="114" customFormat="1" ht="15.75" customHeight="1">
      <c r="B54" s="236"/>
      <c r="C54" s="505"/>
      <c r="D54" s="228" t="s">
        <v>2196</v>
      </c>
      <c r="E54" s="116"/>
      <c r="F54" s="116"/>
      <c r="G54" s="483"/>
      <c r="H54" s="483"/>
      <c r="I54" s="483"/>
      <c r="J54" s="483"/>
      <c r="K54" s="483"/>
      <c r="L54" s="483"/>
      <c r="M54" s="483"/>
      <c r="N54" s="484"/>
      <c r="O54" s="231"/>
      <c r="Q54" s="40"/>
      <c r="R54" s="40"/>
      <c r="S54" s="40"/>
      <c r="T54" s="40"/>
      <c r="U54" s="40"/>
      <c r="V54" s="40"/>
      <c r="W54" s="40"/>
      <c r="X54" s="40"/>
      <c r="Y54" s="40"/>
      <c r="Z54" s="40"/>
      <c r="AA54" s="40"/>
      <c r="AB54" s="40"/>
      <c r="AC54" s="40"/>
      <c r="AD54" s="40"/>
      <c r="AE54" s="40"/>
      <c r="AF54" s="40"/>
      <c r="AG54" s="40"/>
      <c r="AH54" s="40"/>
      <c r="AI54" s="40"/>
      <c r="AJ54" s="40"/>
      <c r="AK54" s="40"/>
    </row>
    <row r="55" spans="2:37" s="114" customFormat="1" ht="15.75" customHeight="1">
      <c r="B55" s="242"/>
      <c r="C55" s="505"/>
      <c r="D55" s="228" t="s">
        <v>2468</v>
      </c>
      <c r="E55" s="116"/>
      <c r="F55" s="116"/>
      <c r="G55" s="485"/>
      <c r="H55" s="485"/>
      <c r="I55" s="485"/>
      <c r="J55" s="485"/>
      <c r="K55" s="485"/>
      <c r="L55" s="485"/>
      <c r="M55" s="485"/>
      <c r="N55" s="486"/>
      <c r="O55" s="228"/>
      <c r="Q55" s="40"/>
      <c r="R55" s="40"/>
      <c r="S55" s="40"/>
      <c r="T55" s="40"/>
      <c r="U55" s="40"/>
      <c r="V55" s="40"/>
      <c r="W55" s="40"/>
      <c r="X55" s="40"/>
      <c r="Y55" s="40"/>
      <c r="Z55" s="40"/>
      <c r="AA55" s="40"/>
      <c r="AB55" s="40"/>
      <c r="AC55" s="40"/>
      <c r="AD55" s="40"/>
      <c r="AE55" s="40"/>
      <c r="AF55" s="40"/>
      <c r="AG55" s="40"/>
      <c r="AH55" s="40"/>
      <c r="AI55" s="40"/>
      <c r="AJ55" s="40"/>
      <c r="AK55" s="40"/>
    </row>
    <row r="56" spans="2:37" s="114" customFormat="1" ht="15.75" customHeight="1" thickBot="1">
      <c r="B56" s="238"/>
      <c r="C56" s="506"/>
      <c r="D56" s="239" t="s">
        <v>2171</v>
      </c>
      <c r="E56" s="240"/>
      <c r="F56" s="240"/>
      <c r="G56" s="507">
        <f>IF(OEMA=0,"",OEMA)</f>
      </c>
      <c r="H56" s="507"/>
      <c r="I56" s="507"/>
      <c r="J56" s="507"/>
      <c r="K56" s="507"/>
      <c r="L56" s="507"/>
      <c r="M56" s="507"/>
      <c r="N56" s="508"/>
      <c r="O56" s="120"/>
      <c r="Q56" s="40"/>
      <c r="R56" s="40"/>
      <c r="S56" s="40"/>
      <c r="T56" s="40"/>
      <c r="U56" s="40"/>
      <c r="V56" s="40"/>
      <c r="W56" s="40"/>
      <c r="X56" s="40"/>
      <c r="Y56" s="40"/>
      <c r="Z56" s="40"/>
      <c r="AA56" s="40"/>
      <c r="AB56" s="40"/>
      <c r="AC56" s="40"/>
      <c r="AD56" s="40"/>
      <c r="AE56" s="40"/>
      <c r="AF56" s="40"/>
      <c r="AG56" s="40"/>
      <c r="AH56" s="40"/>
      <c r="AI56" s="40"/>
      <c r="AJ56" s="40"/>
      <c r="AK56" s="40"/>
    </row>
    <row r="57" spans="2:37" s="114" customFormat="1" ht="12" customHeight="1" thickTop="1">
      <c r="B57" s="232"/>
      <c r="C57" s="241"/>
      <c r="D57" s="241"/>
      <c r="E57" s="241"/>
      <c r="F57" s="241"/>
      <c r="G57" s="447"/>
      <c r="H57" s="447"/>
      <c r="I57" s="447"/>
      <c r="J57" s="447"/>
      <c r="K57" s="447"/>
      <c r="L57" s="447"/>
      <c r="M57" s="447"/>
      <c r="N57" s="448"/>
      <c r="O57" s="120"/>
      <c r="Q57" s="40"/>
      <c r="R57" s="40"/>
      <c r="S57" s="40"/>
      <c r="T57" s="40"/>
      <c r="U57" s="40"/>
      <c r="V57" s="40"/>
      <c r="W57" s="40"/>
      <c r="X57" s="40"/>
      <c r="Y57" s="40"/>
      <c r="Z57" s="40"/>
      <c r="AA57" s="40"/>
      <c r="AB57" s="40"/>
      <c r="AC57" s="40"/>
      <c r="AD57" s="40"/>
      <c r="AE57" s="40"/>
      <c r="AF57" s="40"/>
      <c r="AG57" s="40"/>
      <c r="AH57" s="40"/>
      <c r="AI57" s="40"/>
      <c r="AJ57" s="40"/>
      <c r="AK57" s="40"/>
    </row>
    <row r="58" spans="2:37" s="114" customFormat="1" ht="15.75" customHeight="1">
      <c r="B58" s="234"/>
      <c r="C58" s="498" t="s">
        <v>1612</v>
      </c>
      <c r="D58" s="148" t="s">
        <v>2172</v>
      </c>
      <c r="E58" s="449" t="s">
        <v>1264</v>
      </c>
      <c r="F58" s="121"/>
      <c r="G58" s="148" t="s">
        <v>2244</v>
      </c>
      <c r="H58" s="445"/>
      <c r="I58" s="445"/>
      <c r="J58" s="445"/>
      <c r="K58" s="148" t="s">
        <v>2245</v>
      </c>
      <c r="L58" s="445"/>
      <c r="M58" s="445"/>
      <c r="N58" s="446"/>
      <c r="O58" s="228"/>
      <c r="Q58" s="40"/>
      <c r="R58" s="40"/>
      <c r="S58" s="40"/>
      <c r="T58" s="40"/>
      <c r="U58" s="40"/>
      <c r="V58" s="40"/>
      <c r="W58" s="40"/>
      <c r="X58" s="40"/>
      <c r="Y58" s="40"/>
      <c r="Z58" s="40"/>
      <c r="AA58" s="40"/>
      <c r="AB58" s="40"/>
      <c r="AC58" s="40"/>
      <c r="AD58" s="40"/>
      <c r="AE58" s="40"/>
      <c r="AF58" s="40"/>
      <c r="AG58" s="40"/>
      <c r="AH58" s="40"/>
      <c r="AI58" s="40"/>
      <c r="AJ58" s="40"/>
      <c r="AK58" s="40"/>
    </row>
    <row r="59" spans="2:37" s="114" customFormat="1" ht="15.75" customHeight="1">
      <c r="B59" s="236"/>
      <c r="C59" s="498"/>
      <c r="D59" s="483"/>
      <c r="E59" s="483"/>
      <c r="F59" s="116"/>
      <c r="G59" s="483"/>
      <c r="H59" s="483"/>
      <c r="I59" s="483"/>
      <c r="J59" s="117"/>
      <c r="K59" s="483"/>
      <c r="L59" s="483"/>
      <c r="M59" s="483"/>
      <c r="N59" s="484"/>
      <c r="O59" s="230"/>
      <c r="Q59" s="40"/>
      <c r="R59" s="40"/>
      <c r="S59" s="40"/>
      <c r="T59" s="40"/>
      <c r="U59" s="40"/>
      <c r="V59" s="40"/>
      <c r="W59" s="40"/>
      <c r="X59" s="40"/>
      <c r="Y59" s="40"/>
      <c r="Z59" s="40"/>
      <c r="AA59" s="40"/>
      <c r="AB59" s="40"/>
      <c r="AC59" s="40"/>
      <c r="AD59" s="40"/>
      <c r="AE59" s="40"/>
      <c r="AF59" s="40"/>
      <c r="AG59" s="40"/>
      <c r="AH59" s="40"/>
      <c r="AI59" s="40"/>
      <c r="AJ59" s="40"/>
      <c r="AK59" s="40"/>
    </row>
    <row r="60" spans="2:37" s="114" customFormat="1" ht="4.5" customHeight="1">
      <c r="B60" s="236"/>
      <c r="C60" s="119"/>
      <c r="D60" s="120"/>
      <c r="E60" s="120"/>
      <c r="F60" s="116"/>
      <c r="G60" s="117"/>
      <c r="H60" s="117"/>
      <c r="I60" s="117"/>
      <c r="J60" s="117"/>
      <c r="K60" s="117"/>
      <c r="L60" s="117"/>
      <c r="M60" s="117"/>
      <c r="N60" s="235"/>
      <c r="O60" s="230"/>
      <c r="Q60" s="40"/>
      <c r="R60" s="40"/>
      <c r="S60" s="40"/>
      <c r="T60" s="40"/>
      <c r="U60" s="40"/>
      <c r="V60" s="40"/>
      <c r="W60" s="40"/>
      <c r="X60" s="40"/>
      <c r="Y60" s="40"/>
      <c r="Z60" s="40"/>
      <c r="AA60" s="40"/>
      <c r="AB60" s="40"/>
      <c r="AC60" s="40"/>
      <c r="AD60" s="40"/>
      <c r="AE60" s="40"/>
      <c r="AF60" s="40"/>
      <c r="AG60" s="40"/>
      <c r="AH60" s="40"/>
      <c r="AI60" s="40"/>
      <c r="AJ60" s="40"/>
      <c r="AK60" s="40"/>
    </row>
    <row r="61" spans="2:37" s="114" customFormat="1" ht="15.75" customHeight="1">
      <c r="B61" s="236"/>
      <c r="C61" s="505" t="str">
        <f>IF(CurM7=1,Text1,IF(MemU7=1,"",Text2))</f>
        <v>Please tick the box on the Membership screen before entering contact details.</v>
      </c>
      <c r="D61" s="228" t="s">
        <v>1865</v>
      </c>
      <c r="E61" s="120"/>
      <c r="F61" s="116"/>
      <c r="G61" s="483"/>
      <c r="H61" s="483"/>
      <c r="I61" s="483"/>
      <c r="J61" s="483"/>
      <c r="K61" s="483"/>
      <c r="L61" s="483"/>
      <c r="M61" s="483"/>
      <c r="N61" s="484"/>
      <c r="O61" s="231"/>
      <c r="Q61" s="40"/>
      <c r="R61" s="40"/>
      <c r="S61" s="40"/>
      <c r="T61" s="40"/>
      <c r="U61" s="40"/>
      <c r="V61" s="40"/>
      <c r="W61" s="40"/>
      <c r="X61" s="40"/>
      <c r="Y61" s="40"/>
      <c r="Z61" s="40"/>
      <c r="AA61" s="40"/>
      <c r="AB61" s="40"/>
      <c r="AC61" s="40"/>
      <c r="AD61" s="40"/>
      <c r="AE61" s="40"/>
      <c r="AF61" s="40"/>
      <c r="AG61" s="40"/>
      <c r="AH61" s="40"/>
      <c r="AI61" s="40"/>
      <c r="AJ61" s="40"/>
      <c r="AK61" s="40"/>
    </row>
    <row r="62" spans="2:37" s="114" customFormat="1" ht="15.75" customHeight="1">
      <c r="B62" s="236"/>
      <c r="C62" s="505"/>
      <c r="D62" s="228" t="s">
        <v>2196</v>
      </c>
      <c r="E62" s="116"/>
      <c r="F62" s="116"/>
      <c r="G62" s="483"/>
      <c r="H62" s="483"/>
      <c r="I62" s="483"/>
      <c r="J62" s="483"/>
      <c r="K62" s="483"/>
      <c r="L62" s="483"/>
      <c r="M62" s="483"/>
      <c r="N62" s="484"/>
      <c r="O62" s="231"/>
      <c r="Q62" s="40"/>
      <c r="R62" s="40"/>
      <c r="S62" s="40"/>
      <c r="T62" s="40"/>
      <c r="U62" s="40"/>
      <c r="V62" s="40"/>
      <c r="W62" s="40"/>
      <c r="X62" s="40"/>
      <c r="Y62" s="40"/>
      <c r="Z62" s="40"/>
      <c r="AA62" s="40"/>
      <c r="AB62" s="40"/>
      <c r="AC62" s="40"/>
      <c r="AD62" s="40"/>
      <c r="AE62" s="40"/>
      <c r="AF62" s="40"/>
      <c r="AG62" s="40"/>
      <c r="AH62" s="40"/>
      <c r="AI62" s="40"/>
      <c r="AJ62" s="40"/>
      <c r="AK62" s="40"/>
    </row>
    <row r="63" spans="2:37" s="114" customFormat="1" ht="15.75" customHeight="1">
      <c r="B63" s="242"/>
      <c r="C63" s="505"/>
      <c r="D63" s="228" t="s">
        <v>2468</v>
      </c>
      <c r="E63" s="116"/>
      <c r="F63" s="116"/>
      <c r="G63" s="485"/>
      <c r="H63" s="485"/>
      <c r="I63" s="485"/>
      <c r="J63" s="485"/>
      <c r="K63" s="485"/>
      <c r="L63" s="485"/>
      <c r="M63" s="485"/>
      <c r="N63" s="486"/>
      <c r="O63" s="228"/>
      <c r="Q63" s="40"/>
      <c r="R63" s="40"/>
      <c r="S63" s="40"/>
      <c r="T63" s="40"/>
      <c r="U63" s="40"/>
      <c r="V63" s="40"/>
      <c r="W63" s="40"/>
      <c r="X63" s="40"/>
      <c r="Y63" s="40"/>
      <c r="Z63" s="40"/>
      <c r="AA63" s="40"/>
      <c r="AB63" s="40"/>
      <c r="AC63" s="40"/>
      <c r="AD63" s="40"/>
      <c r="AE63" s="40"/>
      <c r="AF63" s="40"/>
      <c r="AG63" s="40"/>
      <c r="AH63" s="40"/>
      <c r="AI63" s="40"/>
      <c r="AJ63" s="40"/>
      <c r="AK63" s="40"/>
    </row>
    <row r="64" spans="2:37" s="114" customFormat="1" ht="15.75" customHeight="1" thickBot="1">
      <c r="B64" s="238"/>
      <c r="C64" s="506"/>
      <c r="D64" s="239" t="s">
        <v>2171</v>
      </c>
      <c r="E64" s="240"/>
      <c r="F64" s="240"/>
      <c r="G64" s="487">
        <f>IF(OEMA=0,"",OEMA)</f>
      </c>
      <c r="H64" s="487"/>
      <c r="I64" s="487"/>
      <c r="J64" s="487"/>
      <c r="K64" s="487"/>
      <c r="L64" s="487"/>
      <c r="M64" s="487"/>
      <c r="N64" s="488"/>
      <c r="O64" s="120"/>
      <c r="Q64" s="40"/>
      <c r="R64" s="40"/>
      <c r="S64" s="40"/>
      <c r="T64" s="40"/>
      <c r="U64" s="40"/>
      <c r="V64" s="40"/>
      <c r="W64" s="40"/>
      <c r="X64" s="40"/>
      <c r="Y64" s="40"/>
      <c r="Z64" s="40"/>
      <c r="AA64" s="40"/>
      <c r="AB64" s="40"/>
      <c r="AC64" s="40"/>
      <c r="AD64" s="40"/>
      <c r="AE64" s="40"/>
      <c r="AF64" s="40"/>
      <c r="AG64" s="40"/>
      <c r="AH64" s="40"/>
      <c r="AI64" s="40"/>
      <c r="AJ64" s="40"/>
      <c r="AK64" s="40"/>
    </row>
    <row r="65" spans="2:37" s="114" customFormat="1" ht="12" customHeight="1" thickTop="1">
      <c r="B65" s="232"/>
      <c r="C65" s="241"/>
      <c r="D65" s="241"/>
      <c r="E65" s="241"/>
      <c r="F65" s="241"/>
      <c r="G65" s="447"/>
      <c r="H65" s="447"/>
      <c r="I65" s="447"/>
      <c r="J65" s="447"/>
      <c r="K65" s="447"/>
      <c r="L65" s="447"/>
      <c r="M65" s="447"/>
      <c r="N65" s="448"/>
      <c r="O65" s="120"/>
      <c r="Q65" s="40"/>
      <c r="R65" s="40"/>
      <c r="S65" s="40"/>
      <c r="T65" s="40"/>
      <c r="U65" s="40"/>
      <c r="V65" s="40"/>
      <c r="W65" s="40"/>
      <c r="X65" s="40"/>
      <c r="Y65" s="40"/>
      <c r="Z65" s="40"/>
      <c r="AA65" s="40"/>
      <c r="AB65" s="40"/>
      <c r="AC65" s="40"/>
      <c r="AD65" s="40"/>
      <c r="AE65" s="40"/>
      <c r="AF65" s="40"/>
      <c r="AG65" s="40"/>
      <c r="AH65" s="40"/>
      <c r="AI65" s="40"/>
      <c r="AJ65" s="40"/>
      <c r="AK65" s="40"/>
    </row>
    <row r="66" spans="2:37" s="114" customFormat="1" ht="15.75" customHeight="1">
      <c r="B66" s="234"/>
      <c r="C66" s="498" t="s">
        <v>1186</v>
      </c>
      <c r="D66" s="148" t="s">
        <v>2172</v>
      </c>
      <c r="E66" s="449" t="s">
        <v>1264</v>
      </c>
      <c r="F66" s="121"/>
      <c r="G66" s="148" t="s">
        <v>2244</v>
      </c>
      <c r="H66" s="445"/>
      <c r="I66" s="445"/>
      <c r="J66" s="445"/>
      <c r="K66" s="148" t="s">
        <v>2245</v>
      </c>
      <c r="L66" s="445"/>
      <c r="M66" s="445"/>
      <c r="N66" s="446"/>
      <c r="O66" s="228"/>
      <c r="Q66" s="40"/>
      <c r="R66" s="40"/>
      <c r="S66" s="40"/>
      <c r="T66" s="40"/>
      <c r="U66" s="40"/>
      <c r="V66" s="40"/>
      <c r="W66" s="40"/>
      <c r="X66" s="40"/>
      <c r="Y66" s="40"/>
      <c r="Z66" s="40"/>
      <c r="AA66" s="40"/>
      <c r="AB66" s="40"/>
      <c r="AC66" s="40"/>
      <c r="AD66" s="40"/>
      <c r="AE66" s="40"/>
      <c r="AF66" s="40"/>
      <c r="AG66" s="40"/>
      <c r="AH66" s="40"/>
      <c r="AI66" s="40"/>
      <c r="AJ66" s="40"/>
      <c r="AK66" s="40"/>
    </row>
    <row r="67" spans="2:37" s="114" customFormat="1" ht="15.75" customHeight="1">
      <c r="B67" s="236"/>
      <c r="C67" s="498"/>
      <c r="D67" s="483"/>
      <c r="E67" s="483"/>
      <c r="F67" s="116"/>
      <c r="G67" s="483"/>
      <c r="H67" s="483"/>
      <c r="I67" s="483"/>
      <c r="J67" s="117"/>
      <c r="K67" s="483"/>
      <c r="L67" s="483"/>
      <c r="M67" s="483"/>
      <c r="N67" s="484"/>
      <c r="O67" s="230"/>
      <c r="Q67" s="40"/>
      <c r="R67" s="40"/>
      <c r="S67" s="40"/>
      <c r="T67" s="40"/>
      <c r="U67" s="40"/>
      <c r="V67" s="40"/>
      <c r="W67" s="40"/>
      <c r="X67" s="40"/>
      <c r="Y67" s="40"/>
      <c r="Z67" s="40"/>
      <c r="AA67" s="40"/>
      <c r="AB67" s="40"/>
      <c r="AC67" s="40"/>
      <c r="AD67" s="40"/>
      <c r="AE67" s="40"/>
      <c r="AF67" s="40"/>
      <c r="AG67" s="40"/>
      <c r="AH67" s="40"/>
      <c r="AI67" s="40"/>
      <c r="AJ67" s="40"/>
      <c r="AK67" s="40"/>
    </row>
    <row r="68" spans="2:37" s="114" customFormat="1" ht="4.5" customHeight="1">
      <c r="B68" s="236"/>
      <c r="C68" s="119"/>
      <c r="D68" s="117"/>
      <c r="E68" s="120"/>
      <c r="F68" s="116"/>
      <c r="G68" s="117"/>
      <c r="H68" s="117"/>
      <c r="I68" s="117"/>
      <c r="J68" s="117"/>
      <c r="K68" s="117"/>
      <c r="L68" s="117"/>
      <c r="M68" s="117"/>
      <c r="N68" s="235"/>
      <c r="O68" s="230"/>
      <c r="Q68" s="40"/>
      <c r="R68" s="40"/>
      <c r="S68" s="40"/>
      <c r="T68" s="40"/>
      <c r="U68" s="40"/>
      <c r="V68" s="40"/>
      <c r="W68" s="40"/>
      <c r="X68" s="40"/>
      <c r="Y68" s="40"/>
      <c r="Z68" s="40"/>
      <c r="AA68" s="40"/>
      <c r="AB68" s="40"/>
      <c r="AC68" s="40"/>
      <c r="AD68" s="40"/>
      <c r="AE68" s="40"/>
      <c r="AF68" s="40"/>
      <c r="AG68" s="40"/>
      <c r="AH68" s="40"/>
      <c r="AI68" s="40"/>
      <c r="AJ68" s="40"/>
      <c r="AK68" s="40"/>
    </row>
    <row r="69" spans="2:37" s="114" customFormat="1" ht="15.75" customHeight="1">
      <c r="B69" s="236"/>
      <c r="C69" s="505" t="str">
        <f>IF(CurM8=1,Text1,IF(MemU8=1,"",Text2))</f>
        <v>Please tick the box on the Membership screen before entering contact details.</v>
      </c>
      <c r="D69" s="228" t="s">
        <v>1865</v>
      </c>
      <c r="E69" s="120"/>
      <c r="F69" s="116"/>
      <c r="G69" s="483"/>
      <c r="H69" s="483"/>
      <c r="I69" s="483"/>
      <c r="J69" s="483"/>
      <c r="K69" s="483"/>
      <c r="L69" s="483"/>
      <c r="M69" s="483"/>
      <c r="N69" s="484"/>
      <c r="O69" s="231"/>
      <c r="Q69" s="40"/>
      <c r="R69" s="40"/>
      <c r="S69" s="40"/>
      <c r="T69" s="40"/>
      <c r="U69" s="40"/>
      <c r="V69" s="40"/>
      <c r="W69" s="40"/>
      <c r="X69" s="40"/>
      <c r="Y69" s="40"/>
      <c r="Z69" s="40"/>
      <c r="AA69" s="40"/>
      <c r="AB69" s="40"/>
      <c r="AC69" s="40"/>
      <c r="AD69" s="40"/>
      <c r="AE69" s="40"/>
      <c r="AF69" s="40"/>
      <c r="AG69" s="40"/>
      <c r="AH69" s="40"/>
      <c r="AI69" s="40"/>
      <c r="AJ69" s="40"/>
      <c r="AK69" s="40"/>
    </row>
    <row r="70" spans="2:37" s="114" customFormat="1" ht="15.75" customHeight="1">
      <c r="B70" s="236"/>
      <c r="C70" s="505"/>
      <c r="D70" s="228" t="s">
        <v>2196</v>
      </c>
      <c r="E70" s="116"/>
      <c r="F70" s="116"/>
      <c r="G70" s="483"/>
      <c r="H70" s="483"/>
      <c r="I70" s="483"/>
      <c r="J70" s="483"/>
      <c r="K70" s="483"/>
      <c r="L70" s="483"/>
      <c r="M70" s="483"/>
      <c r="N70" s="484"/>
      <c r="O70" s="231"/>
      <c r="Q70" s="40"/>
      <c r="R70" s="40"/>
      <c r="S70" s="40"/>
      <c r="T70" s="40"/>
      <c r="U70" s="40"/>
      <c r="V70" s="40"/>
      <c r="W70" s="40"/>
      <c r="X70" s="40"/>
      <c r="Y70" s="40"/>
      <c r="Z70" s="40"/>
      <c r="AA70" s="40"/>
      <c r="AB70" s="40"/>
      <c r="AC70" s="40"/>
      <c r="AD70" s="40"/>
      <c r="AE70" s="40"/>
      <c r="AF70" s="40"/>
      <c r="AG70" s="40"/>
      <c r="AH70" s="40"/>
      <c r="AI70" s="40"/>
      <c r="AJ70" s="40"/>
      <c r="AK70" s="40"/>
    </row>
    <row r="71" spans="2:37" s="114" customFormat="1" ht="15.75" customHeight="1">
      <c r="B71" s="242"/>
      <c r="C71" s="505"/>
      <c r="D71" s="228" t="s">
        <v>2468</v>
      </c>
      <c r="E71" s="116"/>
      <c r="F71" s="116"/>
      <c r="G71" s="485"/>
      <c r="H71" s="485"/>
      <c r="I71" s="485"/>
      <c r="J71" s="485"/>
      <c r="K71" s="485"/>
      <c r="L71" s="485"/>
      <c r="M71" s="485"/>
      <c r="N71" s="486"/>
      <c r="O71" s="228"/>
      <c r="Q71" s="40"/>
      <c r="R71" s="40"/>
      <c r="S71" s="40"/>
      <c r="T71" s="40"/>
      <c r="U71" s="40"/>
      <c r="V71" s="40"/>
      <c r="W71" s="40"/>
      <c r="X71" s="40"/>
      <c r="Y71" s="40"/>
      <c r="Z71" s="40"/>
      <c r="AA71" s="40"/>
      <c r="AB71" s="40"/>
      <c r="AC71" s="40"/>
      <c r="AD71" s="40"/>
      <c r="AE71" s="40"/>
      <c r="AF71" s="40"/>
      <c r="AG71" s="40"/>
      <c r="AH71" s="40"/>
      <c r="AI71" s="40"/>
      <c r="AJ71" s="40"/>
      <c r="AK71" s="40"/>
    </row>
    <row r="72" spans="2:37" s="114" customFormat="1" ht="15.75" customHeight="1" thickBot="1">
      <c r="B72" s="238"/>
      <c r="C72" s="506"/>
      <c r="D72" s="239" t="s">
        <v>2171</v>
      </c>
      <c r="E72" s="240"/>
      <c r="F72" s="240"/>
      <c r="G72" s="487">
        <f>IF(OEMA=0,"",OEMA)</f>
      </c>
      <c r="H72" s="487"/>
      <c r="I72" s="487"/>
      <c r="J72" s="487"/>
      <c r="K72" s="487"/>
      <c r="L72" s="487"/>
      <c r="M72" s="487"/>
      <c r="N72" s="488"/>
      <c r="O72" s="120"/>
      <c r="Q72" s="40"/>
      <c r="R72" s="40"/>
      <c r="S72" s="40"/>
      <c r="T72" s="40"/>
      <c r="U72" s="40"/>
      <c r="V72" s="40"/>
      <c r="W72" s="40"/>
      <c r="X72" s="40"/>
      <c r="Y72" s="40"/>
      <c r="Z72" s="40"/>
      <c r="AA72" s="40"/>
      <c r="AB72" s="40"/>
      <c r="AC72" s="40"/>
      <c r="AD72" s="40"/>
      <c r="AE72" s="40"/>
      <c r="AF72" s="40"/>
      <c r="AG72" s="40"/>
      <c r="AH72" s="40"/>
      <c r="AI72" s="40"/>
      <c r="AJ72" s="40"/>
      <c r="AK72" s="40"/>
    </row>
    <row r="73" spans="2:37" s="114" customFormat="1" ht="12" customHeight="1" thickTop="1">
      <c r="B73" s="232"/>
      <c r="C73" s="241"/>
      <c r="D73" s="241"/>
      <c r="E73" s="241"/>
      <c r="F73" s="241"/>
      <c r="G73" s="447"/>
      <c r="H73" s="447"/>
      <c r="I73" s="447"/>
      <c r="J73" s="447"/>
      <c r="K73" s="447"/>
      <c r="L73" s="447"/>
      <c r="M73" s="447"/>
      <c r="N73" s="448"/>
      <c r="O73" s="120"/>
      <c r="Q73" s="40"/>
      <c r="R73" s="40"/>
      <c r="S73" s="40"/>
      <c r="T73" s="40"/>
      <c r="U73" s="40"/>
      <c r="V73" s="40"/>
      <c r="W73" s="40"/>
      <c r="X73" s="40"/>
      <c r="Y73" s="40"/>
      <c r="Z73" s="40"/>
      <c r="AA73" s="40"/>
      <c r="AB73" s="40"/>
      <c r="AC73" s="40"/>
      <c r="AD73" s="40"/>
      <c r="AE73" s="40"/>
      <c r="AF73" s="40"/>
      <c r="AG73" s="40"/>
      <c r="AH73" s="40"/>
      <c r="AI73" s="40"/>
      <c r="AJ73" s="40"/>
      <c r="AK73" s="40"/>
    </row>
    <row r="74" spans="2:37" s="114" customFormat="1" ht="15.75" customHeight="1">
      <c r="B74" s="234"/>
      <c r="C74" s="498" t="s">
        <v>2148</v>
      </c>
      <c r="D74" s="148" t="s">
        <v>2172</v>
      </c>
      <c r="E74" s="449" t="s">
        <v>1264</v>
      </c>
      <c r="F74" s="121"/>
      <c r="G74" s="148" t="s">
        <v>2244</v>
      </c>
      <c r="H74" s="445"/>
      <c r="I74" s="445"/>
      <c r="J74" s="445"/>
      <c r="K74" s="148" t="s">
        <v>2245</v>
      </c>
      <c r="L74" s="445"/>
      <c r="M74" s="445"/>
      <c r="N74" s="446"/>
      <c r="O74" s="228"/>
      <c r="Q74" s="40"/>
      <c r="R74" s="40"/>
      <c r="S74" s="40"/>
      <c r="T74" s="40"/>
      <c r="U74" s="40"/>
      <c r="V74" s="40"/>
      <c r="W74" s="40"/>
      <c r="X74" s="40"/>
      <c r="Y74" s="40"/>
      <c r="Z74" s="40"/>
      <c r="AA74" s="40"/>
      <c r="AB74" s="40"/>
      <c r="AC74" s="40"/>
      <c r="AD74" s="40"/>
      <c r="AE74" s="40"/>
      <c r="AF74" s="40"/>
      <c r="AG74" s="40"/>
      <c r="AH74" s="40"/>
      <c r="AI74" s="40"/>
      <c r="AJ74" s="40"/>
      <c r="AK74" s="40"/>
    </row>
    <row r="75" spans="2:37" s="114" customFormat="1" ht="15.75" customHeight="1">
      <c r="B75" s="236"/>
      <c r="C75" s="498"/>
      <c r="D75" s="483"/>
      <c r="E75" s="483"/>
      <c r="F75" s="116"/>
      <c r="G75" s="483"/>
      <c r="H75" s="483"/>
      <c r="I75" s="483"/>
      <c r="J75" s="117"/>
      <c r="K75" s="483"/>
      <c r="L75" s="483"/>
      <c r="M75" s="483"/>
      <c r="N75" s="484"/>
      <c r="O75" s="230"/>
      <c r="Q75" s="40"/>
      <c r="R75" s="40"/>
      <c r="S75" s="40"/>
      <c r="T75" s="40"/>
      <c r="U75" s="40"/>
      <c r="V75" s="40"/>
      <c r="W75" s="40"/>
      <c r="X75" s="40"/>
      <c r="Y75" s="40"/>
      <c r="Z75" s="40"/>
      <c r="AA75" s="40"/>
      <c r="AB75" s="40"/>
      <c r="AC75" s="40"/>
      <c r="AD75" s="40"/>
      <c r="AE75" s="40"/>
      <c r="AF75" s="40"/>
      <c r="AG75" s="40"/>
      <c r="AH75" s="40"/>
      <c r="AI75" s="40"/>
      <c r="AJ75" s="40"/>
      <c r="AK75" s="40"/>
    </row>
    <row r="76" spans="2:37" s="114" customFormat="1" ht="4.5" customHeight="1">
      <c r="B76" s="236"/>
      <c r="C76" s="132"/>
      <c r="D76" s="117"/>
      <c r="E76" s="120"/>
      <c r="F76" s="116"/>
      <c r="G76" s="117"/>
      <c r="H76" s="117"/>
      <c r="I76" s="117"/>
      <c r="J76" s="117"/>
      <c r="K76" s="117"/>
      <c r="L76" s="117"/>
      <c r="M76" s="117"/>
      <c r="N76" s="235"/>
      <c r="O76" s="230"/>
      <c r="Q76" s="40"/>
      <c r="R76" s="40"/>
      <c r="S76" s="40"/>
      <c r="T76" s="40"/>
      <c r="U76" s="40"/>
      <c r="V76" s="40"/>
      <c r="W76" s="40"/>
      <c r="X76" s="40"/>
      <c r="Y76" s="40"/>
      <c r="Z76" s="40"/>
      <c r="AA76" s="40"/>
      <c r="AB76" s="40"/>
      <c r="AC76" s="40"/>
      <c r="AD76" s="40"/>
      <c r="AE76" s="40"/>
      <c r="AF76" s="40"/>
      <c r="AG76" s="40"/>
      <c r="AH76" s="40"/>
      <c r="AI76" s="40"/>
      <c r="AJ76" s="40"/>
      <c r="AK76" s="40"/>
    </row>
    <row r="77" spans="2:37" s="114" customFormat="1" ht="15.75" customHeight="1">
      <c r="B77" s="236"/>
      <c r="C77" s="505" t="str">
        <f>IF(CurM9=1,Text1,IF(MemU9=1,"",Text2))</f>
        <v>Please tick the box on the Membership screen before entering contact details.</v>
      </c>
      <c r="D77" s="228" t="s">
        <v>1865</v>
      </c>
      <c r="E77" s="120"/>
      <c r="F77" s="116"/>
      <c r="G77" s="483"/>
      <c r="H77" s="483"/>
      <c r="I77" s="483"/>
      <c r="J77" s="483"/>
      <c r="K77" s="483"/>
      <c r="L77" s="483"/>
      <c r="M77" s="483"/>
      <c r="N77" s="484"/>
      <c r="O77" s="231"/>
      <c r="Q77" s="40"/>
      <c r="R77" s="40"/>
      <c r="S77" s="40"/>
      <c r="T77" s="40"/>
      <c r="U77" s="40"/>
      <c r="V77" s="40"/>
      <c r="W77" s="40"/>
      <c r="X77" s="40"/>
      <c r="Y77" s="40"/>
      <c r="Z77" s="40"/>
      <c r="AA77" s="40"/>
      <c r="AB77" s="40"/>
      <c r="AC77" s="40"/>
      <c r="AD77" s="40"/>
      <c r="AE77" s="40"/>
      <c r="AF77" s="40"/>
      <c r="AG77" s="40"/>
      <c r="AH77" s="40"/>
      <c r="AI77" s="40"/>
      <c r="AJ77" s="40"/>
      <c r="AK77" s="40"/>
    </row>
    <row r="78" spans="2:37" s="114" customFormat="1" ht="15.75" customHeight="1">
      <c r="B78" s="236"/>
      <c r="C78" s="505"/>
      <c r="D78" s="228" t="s">
        <v>2196</v>
      </c>
      <c r="E78" s="116"/>
      <c r="F78" s="116"/>
      <c r="G78" s="483"/>
      <c r="H78" s="483"/>
      <c r="I78" s="483"/>
      <c r="J78" s="483"/>
      <c r="K78" s="483"/>
      <c r="L78" s="483"/>
      <c r="M78" s="483"/>
      <c r="N78" s="484"/>
      <c r="O78" s="231"/>
      <c r="Q78" s="40"/>
      <c r="R78" s="40"/>
      <c r="S78" s="40"/>
      <c r="T78" s="40"/>
      <c r="U78" s="40"/>
      <c r="V78" s="40"/>
      <c r="W78" s="40"/>
      <c r="X78" s="40"/>
      <c r="Y78" s="40"/>
      <c r="Z78" s="40"/>
      <c r="AA78" s="40"/>
      <c r="AB78" s="40"/>
      <c r="AC78" s="40"/>
      <c r="AD78" s="40"/>
      <c r="AE78" s="40"/>
      <c r="AF78" s="40"/>
      <c r="AG78" s="40"/>
      <c r="AH78" s="40"/>
      <c r="AI78" s="40"/>
      <c r="AJ78" s="40"/>
      <c r="AK78" s="40"/>
    </row>
    <row r="79" spans="2:37" s="114" customFormat="1" ht="15.75" customHeight="1">
      <c r="B79" s="242"/>
      <c r="C79" s="505"/>
      <c r="D79" s="228" t="s">
        <v>2468</v>
      </c>
      <c r="E79" s="116"/>
      <c r="F79" s="116"/>
      <c r="G79" s="485"/>
      <c r="H79" s="485"/>
      <c r="I79" s="485"/>
      <c r="J79" s="485"/>
      <c r="K79" s="485"/>
      <c r="L79" s="485"/>
      <c r="M79" s="485"/>
      <c r="N79" s="486"/>
      <c r="O79" s="228"/>
      <c r="Q79" s="40"/>
      <c r="R79" s="40"/>
      <c r="S79" s="40"/>
      <c r="T79" s="40"/>
      <c r="U79" s="40"/>
      <c r="V79" s="40"/>
      <c r="W79" s="40"/>
      <c r="X79" s="40"/>
      <c r="Y79" s="40"/>
      <c r="Z79" s="40"/>
      <c r="AA79" s="40"/>
      <c r="AB79" s="40"/>
      <c r="AC79" s="40"/>
      <c r="AD79" s="40"/>
      <c r="AE79" s="40"/>
      <c r="AF79" s="40"/>
      <c r="AG79" s="40"/>
      <c r="AH79" s="40"/>
      <c r="AI79" s="40"/>
      <c r="AJ79" s="40"/>
      <c r="AK79" s="40"/>
    </row>
    <row r="80" spans="2:37" s="114" customFormat="1" ht="15.75" customHeight="1" thickBot="1">
      <c r="B80" s="238"/>
      <c r="C80" s="506"/>
      <c r="D80" s="239" t="s">
        <v>2171</v>
      </c>
      <c r="E80" s="240"/>
      <c r="F80" s="240"/>
      <c r="G80" s="487">
        <f>IF(OEMA=0,"",OEMA)</f>
      </c>
      <c r="H80" s="487"/>
      <c r="I80" s="487"/>
      <c r="J80" s="487"/>
      <c r="K80" s="487"/>
      <c r="L80" s="487"/>
      <c r="M80" s="487"/>
      <c r="N80" s="488"/>
      <c r="O80" s="120"/>
      <c r="Q80" s="40"/>
      <c r="R80" s="40"/>
      <c r="S80" s="40"/>
      <c r="T80" s="40"/>
      <c r="U80" s="40"/>
      <c r="V80" s="40"/>
      <c r="W80" s="40"/>
      <c r="X80" s="40"/>
      <c r="Y80" s="40"/>
      <c r="Z80" s="40"/>
      <c r="AA80" s="40"/>
      <c r="AB80" s="40"/>
      <c r="AC80" s="40"/>
      <c r="AD80" s="40"/>
      <c r="AE80" s="40"/>
      <c r="AF80" s="40"/>
      <c r="AG80" s="40"/>
      <c r="AH80" s="40"/>
      <c r="AI80" s="40"/>
      <c r="AJ80" s="40"/>
      <c r="AK80" s="40"/>
    </row>
    <row r="81" spans="2:37" s="114" customFormat="1" ht="12" customHeight="1" thickTop="1">
      <c r="B81" s="232"/>
      <c r="C81" s="241"/>
      <c r="D81" s="241"/>
      <c r="E81" s="241"/>
      <c r="F81" s="241"/>
      <c r="G81" s="447"/>
      <c r="H81" s="447"/>
      <c r="I81" s="447"/>
      <c r="J81" s="447"/>
      <c r="K81" s="447"/>
      <c r="L81" s="447"/>
      <c r="M81" s="447"/>
      <c r="N81" s="448"/>
      <c r="O81" s="120"/>
      <c r="Q81" s="40"/>
      <c r="R81" s="40"/>
      <c r="S81" s="40"/>
      <c r="T81" s="40"/>
      <c r="U81" s="40"/>
      <c r="V81" s="40"/>
      <c r="W81" s="40"/>
      <c r="X81" s="40"/>
      <c r="Y81" s="40"/>
      <c r="Z81" s="40"/>
      <c r="AA81" s="40"/>
      <c r="AB81" s="40"/>
      <c r="AC81" s="40"/>
      <c r="AD81" s="40"/>
      <c r="AE81" s="40"/>
      <c r="AF81" s="40"/>
      <c r="AG81" s="40"/>
      <c r="AH81" s="40"/>
      <c r="AI81" s="40"/>
      <c r="AJ81" s="40"/>
      <c r="AK81" s="40"/>
    </row>
    <row r="82" spans="2:37" s="114" customFormat="1" ht="15.75" customHeight="1">
      <c r="B82" s="243"/>
      <c r="C82" s="498" t="s">
        <v>2150</v>
      </c>
      <c r="D82" s="148" t="s">
        <v>2172</v>
      </c>
      <c r="E82" s="449" t="s">
        <v>1264</v>
      </c>
      <c r="F82" s="121"/>
      <c r="G82" s="148" t="s">
        <v>2244</v>
      </c>
      <c r="H82" s="445"/>
      <c r="I82" s="445"/>
      <c r="J82" s="445"/>
      <c r="K82" s="148" t="s">
        <v>2245</v>
      </c>
      <c r="L82" s="445"/>
      <c r="M82" s="445"/>
      <c r="N82" s="446"/>
      <c r="O82" s="228"/>
      <c r="Q82" s="40"/>
      <c r="R82" s="40"/>
      <c r="S82" s="40"/>
      <c r="T82" s="40"/>
      <c r="U82" s="40"/>
      <c r="V82" s="40"/>
      <c r="W82" s="40"/>
      <c r="X82" s="40"/>
      <c r="Y82" s="40"/>
      <c r="Z82" s="40"/>
      <c r="AA82" s="40"/>
      <c r="AB82" s="40"/>
      <c r="AC82" s="40"/>
      <c r="AD82" s="40"/>
      <c r="AE82" s="40"/>
      <c r="AF82" s="40"/>
      <c r="AG82" s="40"/>
      <c r="AH82" s="40"/>
      <c r="AI82" s="40"/>
      <c r="AJ82" s="40"/>
      <c r="AK82" s="40"/>
    </row>
    <row r="83" spans="2:37" s="114" customFormat="1" ht="15">
      <c r="B83" s="243"/>
      <c r="C83" s="498"/>
      <c r="D83" s="483"/>
      <c r="E83" s="483"/>
      <c r="F83" s="116"/>
      <c r="G83" s="483"/>
      <c r="H83" s="483"/>
      <c r="I83" s="483"/>
      <c r="J83" s="117"/>
      <c r="K83" s="483"/>
      <c r="L83" s="483"/>
      <c r="M83" s="483"/>
      <c r="N83" s="484"/>
      <c r="O83" s="230"/>
      <c r="Q83" s="40"/>
      <c r="R83" s="40"/>
      <c r="S83" s="40"/>
      <c r="T83" s="40"/>
      <c r="U83" s="40"/>
      <c r="V83" s="40"/>
      <c r="W83" s="40"/>
      <c r="X83" s="40"/>
      <c r="Y83" s="40"/>
      <c r="Z83" s="40"/>
      <c r="AA83" s="40"/>
      <c r="AB83" s="40"/>
      <c r="AC83" s="40"/>
      <c r="AD83" s="40"/>
      <c r="AE83" s="40"/>
      <c r="AF83" s="40"/>
      <c r="AG83" s="40"/>
      <c r="AH83" s="40"/>
      <c r="AI83" s="40"/>
      <c r="AJ83" s="40"/>
      <c r="AK83" s="40"/>
    </row>
    <row r="84" spans="2:37" s="114" customFormat="1" ht="4.5" customHeight="1">
      <c r="B84" s="243"/>
      <c r="C84" s="119"/>
      <c r="D84" s="117"/>
      <c r="E84" s="120"/>
      <c r="F84" s="116"/>
      <c r="G84" s="117"/>
      <c r="H84" s="117"/>
      <c r="I84" s="117"/>
      <c r="J84" s="117"/>
      <c r="K84" s="117"/>
      <c r="L84" s="117"/>
      <c r="M84" s="117"/>
      <c r="N84" s="235"/>
      <c r="O84" s="230"/>
      <c r="Q84" s="40"/>
      <c r="R84" s="40"/>
      <c r="S84" s="40"/>
      <c r="T84" s="40"/>
      <c r="U84" s="40"/>
      <c r="V84" s="40"/>
      <c r="W84" s="40"/>
      <c r="X84" s="40"/>
      <c r="Y84" s="40"/>
      <c r="Z84" s="40"/>
      <c r="AA84" s="40"/>
      <c r="AB84" s="40"/>
      <c r="AC84" s="40"/>
      <c r="AD84" s="40"/>
      <c r="AE84" s="40"/>
      <c r="AF84" s="40"/>
      <c r="AG84" s="40"/>
      <c r="AH84" s="40"/>
      <c r="AI84" s="40"/>
      <c r="AJ84" s="40"/>
      <c r="AK84" s="40"/>
    </row>
    <row r="85" spans="2:37" s="114" customFormat="1" ht="15.75" customHeight="1">
      <c r="B85" s="236"/>
      <c r="C85" s="505" t="str">
        <f>IF(CurM10=1,Text1,IF(MemU10=1,"",Text2))</f>
        <v>Please tick the box on the Membership screen before entering contact details.</v>
      </c>
      <c r="D85" s="228" t="s">
        <v>1865</v>
      </c>
      <c r="E85" s="120"/>
      <c r="F85" s="116"/>
      <c r="G85" s="483"/>
      <c r="H85" s="483"/>
      <c r="I85" s="483"/>
      <c r="J85" s="483"/>
      <c r="K85" s="483"/>
      <c r="L85" s="483"/>
      <c r="M85" s="483"/>
      <c r="N85" s="484"/>
      <c r="O85" s="231"/>
      <c r="Q85" s="40"/>
      <c r="R85" s="40"/>
      <c r="S85" s="40"/>
      <c r="T85" s="40"/>
      <c r="U85" s="40"/>
      <c r="V85" s="40"/>
      <c r="W85" s="40"/>
      <c r="X85" s="40"/>
      <c r="Y85" s="40"/>
      <c r="Z85" s="40"/>
      <c r="AA85" s="40"/>
      <c r="AB85" s="40"/>
      <c r="AC85" s="40"/>
      <c r="AD85" s="40"/>
      <c r="AE85" s="40"/>
      <c r="AF85" s="40"/>
      <c r="AG85" s="40"/>
      <c r="AH85" s="40"/>
      <c r="AI85" s="40"/>
      <c r="AJ85" s="40"/>
      <c r="AK85" s="40"/>
    </row>
    <row r="86" spans="2:37" s="114" customFormat="1" ht="15.75" customHeight="1">
      <c r="B86" s="236"/>
      <c r="C86" s="505"/>
      <c r="D86" s="228" t="s">
        <v>2196</v>
      </c>
      <c r="E86" s="116"/>
      <c r="F86" s="116"/>
      <c r="G86" s="483"/>
      <c r="H86" s="483"/>
      <c r="I86" s="483"/>
      <c r="J86" s="483"/>
      <c r="K86" s="483"/>
      <c r="L86" s="483"/>
      <c r="M86" s="483"/>
      <c r="N86" s="484"/>
      <c r="O86" s="231"/>
      <c r="Q86" s="40"/>
      <c r="R86" s="40"/>
      <c r="S86" s="40"/>
      <c r="T86" s="40"/>
      <c r="U86" s="40"/>
      <c r="V86" s="40"/>
      <c r="W86" s="40"/>
      <c r="X86" s="40"/>
      <c r="Y86" s="40"/>
      <c r="Z86" s="40"/>
      <c r="AA86" s="40"/>
      <c r="AB86" s="40"/>
      <c r="AC86" s="40"/>
      <c r="AD86" s="40"/>
      <c r="AE86" s="40"/>
      <c r="AF86" s="40"/>
      <c r="AG86" s="40"/>
      <c r="AH86" s="40"/>
      <c r="AI86" s="40"/>
      <c r="AJ86" s="40"/>
      <c r="AK86" s="40"/>
    </row>
    <row r="87" spans="2:37" s="114" customFormat="1" ht="15.75" customHeight="1">
      <c r="B87" s="236"/>
      <c r="C87" s="505"/>
      <c r="D87" s="228" t="s">
        <v>2468</v>
      </c>
      <c r="E87" s="116"/>
      <c r="F87" s="116"/>
      <c r="G87" s="485"/>
      <c r="H87" s="485"/>
      <c r="I87" s="485"/>
      <c r="J87" s="485"/>
      <c r="K87" s="485"/>
      <c r="L87" s="485"/>
      <c r="M87" s="485"/>
      <c r="N87" s="486"/>
      <c r="O87" s="228"/>
      <c r="Q87" s="40"/>
      <c r="R87" s="40"/>
      <c r="S87" s="40"/>
      <c r="T87" s="40"/>
      <c r="U87" s="40"/>
      <c r="V87" s="40"/>
      <c r="W87" s="40"/>
      <c r="X87" s="40"/>
      <c r="Y87" s="40"/>
      <c r="Z87" s="40"/>
      <c r="AA87" s="40"/>
      <c r="AB87" s="40"/>
      <c r="AC87" s="40"/>
      <c r="AD87" s="40"/>
      <c r="AE87" s="40"/>
      <c r="AF87" s="40"/>
      <c r="AG87" s="40"/>
      <c r="AH87" s="40"/>
      <c r="AI87" s="40"/>
      <c r="AJ87" s="40"/>
      <c r="AK87" s="40"/>
    </row>
    <row r="88" spans="2:37" s="114" customFormat="1" ht="15.75" customHeight="1" thickBot="1">
      <c r="B88" s="238"/>
      <c r="C88" s="506"/>
      <c r="D88" s="239" t="s">
        <v>2171</v>
      </c>
      <c r="E88" s="240"/>
      <c r="F88" s="240"/>
      <c r="G88" s="487">
        <f>IF(OEMA=0,"",OEMA)</f>
      </c>
      <c r="H88" s="487"/>
      <c r="I88" s="487"/>
      <c r="J88" s="487"/>
      <c r="K88" s="487"/>
      <c r="L88" s="487"/>
      <c r="M88" s="487"/>
      <c r="N88" s="488"/>
      <c r="O88" s="120"/>
      <c r="Q88" s="40"/>
      <c r="R88" s="40"/>
      <c r="S88" s="40"/>
      <c r="T88" s="40"/>
      <c r="U88" s="40"/>
      <c r="V88" s="40"/>
      <c r="W88" s="40"/>
      <c r="X88" s="40"/>
      <c r="Y88" s="40"/>
      <c r="Z88" s="40"/>
      <c r="AA88" s="40"/>
      <c r="AB88" s="40"/>
      <c r="AC88" s="40"/>
      <c r="AD88" s="40"/>
      <c r="AE88" s="40"/>
      <c r="AF88" s="40"/>
      <c r="AG88" s="40"/>
      <c r="AH88" s="40"/>
      <c r="AI88" s="40"/>
      <c r="AJ88" s="40"/>
      <c r="AK88" s="40"/>
    </row>
    <row r="89" spans="2:37" s="114" customFormat="1" ht="12" customHeight="1" thickTop="1">
      <c r="B89" s="232"/>
      <c r="C89" s="241"/>
      <c r="D89" s="241"/>
      <c r="E89" s="241"/>
      <c r="F89" s="241"/>
      <c r="G89" s="447"/>
      <c r="H89" s="447"/>
      <c r="I89" s="447"/>
      <c r="J89" s="447"/>
      <c r="K89" s="447"/>
      <c r="L89" s="447"/>
      <c r="M89" s="447"/>
      <c r="N89" s="448"/>
      <c r="O89" s="120"/>
      <c r="Q89" s="40"/>
      <c r="R89" s="40"/>
      <c r="S89" s="40"/>
      <c r="T89" s="40"/>
      <c r="U89" s="40"/>
      <c r="V89" s="40"/>
      <c r="W89" s="40"/>
      <c r="X89" s="40"/>
      <c r="Y89" s="40"/>
      <c r="Z89" s="40"/>
      <c r="AA89" s="40"/>
      <c r="AB89" s="40"/>
      <c r="AC89" s="40"/>
      <c r="AD89" s="40"/>
      <c r="AE89" s="40"/>
      <c r="AF89" s="40"/>
      <c r="AG89" s="40"/>
      <c r="AH89" s="40"/>
      <c r="AI89" s="40"/>
      <c r="AJ89" s="40"/>
      <c r="AK89" s="40"/>
    </row>
    <row r="90" spans="2:37" s="114" customFormat="1" ht="15.75" customHeight="1">
      <c r="B90" s="234"/>
      <c r="C90" s="498" t="s">
        <v>2313</v>
      </c>
      <c r="D90" s="148" t="s">
        <v>2172</v>
      </c>
      <c r="E90" s="449" t="s">
        <v>1264</v>
      </c>
      <c r="F90" s="121"/>
      <c r="G90" s="148" t="s">
        <v>2244</v>
      </c>
      <c r="H90" s="445"/>
      <c r="I90" s="445"/>
      <c r="J90" s="445"/>
      <c r="K90" s="148" t="s">
        <v>2245</v>
      </c>
      <c r="L90" s="445"/>
      <c r="M90" s="445"/>
      <c r="N90" s="446"/>
      <c r="O90" s="228"/>
      <c r="Q90" s="40"/>
      <c r="R90" s="40"/>
      <c r="S90" s="40"/>
      <c r="T90" s="40"/>
      <c r="U90" s="40"/>
      <c r="V90" s="40"/>
      <c r="W90" s="40"/>
      <c r="X90" s="40"/>
      <c r="Y90" s="40"/>
      <c r="Z90" s="40"/>
      <c r="AA90" s="40"/>
      <c r="AB90" s="40"/>
      <c r="AC90" s="40"/>
      <c r="AD90" s="40"/>
      <c r="AE90" s="40"/>
      <c r="AF90" s="40"/>
      <c r="AG90" s="40"/>
      <c r="AH90" s="40"/>
      <c r="AI90" s="40"/>
      <c r="AJ90" s="40"/>
      <c r="AK90" s="40"/>
    </row>
    <row r="91" spans="2:37" s="114" customFormat="1" ht="15.75" customHeight="1">
      <c r="B91" s="236"/>
      <c r="C91" s="498"/>
      <c r="D91" s="483"/>
      <c r="E91" s="483"/>
      <c r="F91" s="116"/>
      <c r="G91" s="483"/>
      <c r="H91" s="483"/>
      <c r="I91" s="483"/>
      <c r="J91" s="117"/>
      <c r="K91" s="483"/>
      <c r="L91" s="483"/>
      <c r="M91" s="483"/>
      <c r="N91" s="484"/>
      <c r="O91" s="230"/>
      <c r="Q91" s="40"/>
      <c r="R91" s="40"/>
      <c r="S91" s="40"/>
      <c r="T91" s="40"/>
      <c r="U91" s="40"/>
      <c r="V91" s="40"/>
      <c r="W91" s="40"/>
      <c r="X91" s="40"/>
      <c r="Y91" s="40"/>
      <c r="Z91" s="40"/>
      <c r="AA91" s="40"/>
      <c r="AB91" s="40"/>
      <c r="AC91" s="40"/>
      <c r="AD91" s="40"/>
      <c r="AE91" s="40"/>
      <c r="AF91" s="40"/>
      <c r="AG91" s="40"/>
      <c r="AH91" s="40"/>
      <c r="AI91" s="40"/>
      <c r="AJ91" s="40"/>
      <c r="AK91" s="40"/>
    </row>
    <row r="92" spans="2:37" s="114" customFormat="1" ht="4.5" customHeight="1">
      <c r="B92" s="236"/>
      <c r="C92" s="119"/>
      <c r="D92" s="117"/>
      <c r="E92" s="120"/>
      <c r="F92" s="116"/>
      <c r="G92" s="117"/>
      <c r="H92" s="117"/>
      <c r="I92" s="117"/>
      <c r="J92" s="117"/>
      <c r="K92" s="117"/>
      <c r="L92" s="117"/>
      <c r="M92" s="117"/>
      <c r="N92" s="235"/>
      <c r="O92" s="230"/>
      <c r="Q92" s="40"/>
      <c r="R92" s="40"/>
      <c r="S92" s="40"/>
      <c r="T92" s="40"/>
      <c r="U92" s="40"/>
      <c r="V92" s="40"/>
      <c r="W92" s="40"/>
      <c r="X92" s="40"/>
      <c r="Y92" s="40"/>
      <c r="Z92" s="40"/>
      <c r="AA92" s="40"/>
      <c r="AB92" s="40"/>
      <c r="AC92" s="40"/>
      <c r="AD92" s="40"/>
      <c r="AE92" s="40"/>
      <c r="AF92" s="40"/>
      <c r="AG92" s="40"/>
      <c r="AH92" s="40"/>
      <c r="AI92" s="40"/>
      <c r="AJ92" s="40"/>
      <c r="AK92" s="40"/>
    </row>
    <row r="93" spans="2:37" s="114" customFormat="1" ht="15.75" customHeight="1">
      <c r="B93" s="236"/>
      <c r="C93" s="505" t="str">
        <f>IF(CurM11=1,Text1,IF(MemU11=1,"",Text2))</f>
        <v>Please tick the box on the Membership screen before entering contact details.</v>
      </c>
      <c r="D93" s="228" t="s">
        <v>1865</v>
      </c>
      <c r="E93" s="120"/>
      <c r="F93" s="116"/>
      <c r="G93" s="483"/>
      <c r="H93" s="483"/>
      <c r="I93" s="483"/>
      <c r="J93" s="483"/>
      <c r="K93" s="483"/>
      <c r="L93" s="483"/>
      <c r="M93" s="483"/>
      <c r="N93" s="484"/>
      <c r="O93" s="231"/>
      <c r="Q93" s="40"/>
      <c r="R93" s="40"/>
      <c r="S93" s="40"/>
      <c r="T93" s="40"/>
      <c r="U93" s="40"/>
      <c r="V93" s="40"/>
      <c r="W93" s="40"/>
      <c r="X93" s="40"/>
      <c r="Y93" s="40"/>
      <c r="Z93" s="40"/>
      <c r="AA93" s="40"/>
      <c r="AB93" s="40"/>
      <c r="AC93" s="40"/>
      <c r="AD93" s="40"/>
      <c r="AE93" s="40"/>
      <c r="AF93" s="40"/>
      <c r="AG93" s="40"/>
      <c r="AH93" s="40"/>
      <c r="AI93" s="40"/>
      <c r="AJ93" s="40"/>
      <c r="AK93" s="40"/>
    </row>
    <row r="94" spans="2:37" s="114" customFormat="1" ht="15.75" customHeight="1">
      <c r="B94" s="236"/>
      <c r="C94" s="505"/>
      <c r="D94" s="228" t="s">
        <v>2196</v>
      </c>
      <c r="E94" s="116"/>
      <c r="F94" s="116"/>
      <c r="G94" s="483"/>
      <c r="H94" s="483"/>
      <c r="I94" s="483"/>
      <c r="J94" s="483"/>
      <c r="K94" s="483"/>
      <c r="L94" s="483"/>
      <c r="M94" s="483"/>
      <c r="N94" s="484"/>
      <c r="O94" s="231"/>
      <c r="Q94" s="40"/>
      <c r="R94" s="40"/>
      <c r="S94" s="40"/>
      <c r="T94" s="40"/>
      <c r="U94" s="40"/>
      <c r="V94" s="40"/>
      <c r="W94" s="40"/>
      <c r="X94" s="40"/>
      <c r="Y94" s="40"/>
      <c r="Z94" s="40"/>
      <c r="AA94" s="40"/>
      <c r="AB94" s="40"/>
      <c r="AC94" s="40"/>
      <c r="AD94" s="40"/>
      <c r="AE94" s="40"/>
      <c r="AF94" s="40"/>
      <c r="AG94" s="40"/>
      <c r="AH94" s="40"/>
      <c r="AI94" s="40"/>
      <c r="AJ94" s="40"/>
      <c r="AK94" s="40"/>
    </row>
    <row r="95" spans="2:37" s="114" customFormat="1" ht="15.75" customHeight="1">
      <c r="B95" s="242"/>
      <c r="C95" s="505"/>
      <c r="D95" s="228" t="s">
        <v>2468</v>
      </c>
      <c r="E95" s="116"/>
      <c r="F95" s="116"/>
      <c r="G95" s="485"/>
      <c r="H95" s="485"/>
      <c r="I95" s="485"/>
      <c r="J95" s="485"/>
      <c r="K95" s="485"/>
      <c r="L95" s="485"/>
      <c r="M95" s="485"/>
      <c r="N95" s="486"/>
      <c r="O95" s="228"/>
      <c r="Q95" s="40"/>
      <c r="R95" s="40"/>
      <c r="S95" s="40"/>
      <c r="T95" s="40"/>
      <c r="U95" s="40"/>
      <c r="V95" s="40"/>
      <c r="W95" s="40"/>
      <c r="X95" s="40"/>
      <c r="Y95" s="40"/>
      <c r="Z95" s="40"/>
      <c r="AA95" s="40"/>
      <c r="AB95" s="40"/>
      <c r="AC95" s="40"/>
      <c r="AD95" s="40"/>
      <c r="AE95" s="40"/>
      <c r="AF95" s="40"/>
      <c r="AG95" s="40"/>
      <c r="AH95" s="40"/>
      <c r="AI95" s="40"/>
      <c r="AJ95" s="40"/>
      <c r="AK95" s="40"/>
    </row>
    <row r="96" spans="2:37" s="114" customFormat="1" ht="15.75" customHeight="1" thickBot="1">
      <c r="B96" s="238"/>
      <c r="C96" s="506"/>
      <c r="D96" s="239" t="s">
        <v>2171</v>
      </c>
      <c r="E96" s="240"/>
      <c r="F96" s="240"/>
      <c r="G96" s="487">
        <f>IF(OEMA=0,"",OEMA)</f>
      </c>
      <c r="H96" s="487"/>
      <c r="I96" s="487"/>
      <c r="J96" s="487"/>
      <c r="K96" s="487"/>
      <c r="L96" s="487"/>
      <c r="M96" s="487"/>
      <c r="N96" s="488"/>
      <c r="O96" s="120"/>
      <c r="Q96" s="40"/>
      <c r="R96" s="40"/>
      <c r="S96" s="40"/>
      <c r="T96" s="40"/>
      <c r="U96" s="40"/>
      <c r="V96" s="40"/>
      <c r="W96" s="40"/>
      <c r="X96" s="40"/>
      <c r="Y96" s="40"/>
      <c r="Z96" s="40"/>
      <c r="AA96" s="40"/>
      <c r="AB96" s="40"/>
      <c r="AC96" s="40"/>
      <c r="AD96" s="40"/>
      <c r="AE96" s="40"/>
      <c r="AF96" s="40"/>
      <c r="AG96" s="40"/>
      <c r="AH96" s="40"/>
      <c r="AI96" s="40"/>
      <c r="AJ96" s="40"/>
      <c r="AK96" s="40"/>
    </row>
    <row r="97" spans="2:37" s="114" customFormat="1" ht="12" customHeight="1" thickTop="1">
      <c r="B97" s="232"/>
      <c r="C97" s="241"/>
      <c r="D97" s="241"/>
      <c r="E97" s="241"/>
      <c r="F97" s="241"/>
      <c r="G97" s="447"/>
      <c r="H97" s="447"/>
      <c r="I97" s="447"/>
      <c r="J97" s="447"/>
      <c r="K97" s="447"/>
      <c r="L97" s="447"/>
      <c r="M97" s="447"/>
      <c r="N97" s="448"/>
      <c r="O97" s="120"/>
      <c r="Q97" s="40"/>
      <c r="R97" s="40"/>
      <c r="S97" s="40"/>
      <c r="T97" s="40"/>
      <c r="U97" s="40"/>
      <c r="V97" s="40"/>
      <c r="W97" s="40"/>
      <c r="X97" s="40"/>
      <c r="Y97" s="40"/>
      <c r="Z97" s="40"/>
      <c r="AA97" s="40"/>
      <c r="AB97" s="40"/>
      <c r="AC97" s="40"/>
      <c r="AD97" s="40"/>
      <c r="AE97" s="40"/>
      <c r="AF97" s="40"/>
      <c r="AG97" s="40"/>
      <c r="AH97" s="40"/>
      <c r="AI97" s="40"/>
      <c r="AJ97" s="40"/>
      <c r="AK97" s="40"/>
    </row>
    <row r="98" spans="2:15" ht="15.75" customHeight="1">
      <c r="B98" s="234"/>
      <c r="C98" s="498" t="s">
        <v>2098</v>
      </c>
      <c r="D98" s="148" t="s">
        <v>2172</v>
      </c>
      <c r="E98" s="449" t="s">
        <v>1264</v>
      </c>
      <c r="F98" s="121"/>
      <c r="G98" s="148" t="s">
        <v>2244</v>
      </c>
      <c r="H98" s="445"/>
      <c r="I98" s="445"/>
      <c r="J98" s="445"/>
      <c r="K98" s="148" t="s">
        <v>2245</v>
      </c>
      <c r="L98" s="445"/>
      <c r="M98" s="445"/>
      <c r="N98" s="446"/>
      <c r="O98" s="228"/>
    </row>
    <row r="99" spans="2:15" ht="15.75" customHeight="1">
      <c r="B99" s="236"/>
      <c r="C99" s="498"/>
      <c r="D99" s="483"/>
      <c r="E99" s="483"/>
      <c r="F99" s="116"/>
      <c r="G99" s="483"/>
      <c r="H99" s="483"/>
      <c r="I99" s="483"/>
      <c r="J99" s="117"/>
      <c r="K99" s="483"/>
      <c r="L99" s="483"/>
      <c r="M99" s="483"/>
      <c r="N99" s="484"/>
      <c r="O99" s="230"/>
    </row>
    <row r="100" spans="2:15" ht="4.5" customHeight="1">
      <c r="B100" s="236"/>
      <c r="C100" s="119"/>
      <c r="D100" s="117"/>
      <c r="E100" s="120"/>
      <c r="F100" s="116"/>
      <c r="G100" s="117"/>
      <c r="H100" s="117"/>
      <c r="I100" s="117"/>
      <c r="J100" s="117"/>
      <c r="K100" s="117"/>
      <c r="L100" s="117"/>
      <c r="M100" s="117"/>
      <c r="N100" s="235"/>
      <c r="O100" s="230"/>
    </row>
    <row r="101" spans="2:15" ht="15.75" customHeight="1">
      <c r="B101" s="236"/>
      <c r="C101" s="505" t="str">
        <f>IF(ISERROR(Price12),Text2,IF(CurM12=1,Text1,IF(OR(MemU12=1,Price12=0),"",Text2)))</f>
        <v>Please tick the box on the Membership screen before entering contact details.</v>
      </c>
      <c r="D101" s="228" t="s">
        <v>1865</v>
      </c>
      <c r="E101" s="120"/>
      <c r="F101" s="116"/>
      <c r="G101" s="483"/>
      <c r="H101" s="483"/>
      <c r="I101" s="483"/>
      <c r="J101" s="483"/>
      <c r="K101" s="483"/>
      <c r="L101" s="483"/>
      <c r="M101" s="483"/>
      <c r="N101" s="484"/>
      <c r="O101" s="231"/>
    </row>
    <row r="102" spans="2:15" ht="15.75" customHeight="1">
      <c r="B102" s="236"/>
      <c r="C102" s="505"/>
      <c r="D102" s="228" t="s">
        <v>2196</v>
      </c>
      <c r="E102" s="116"/>
      <c r="F102" s="116"/>
      <c r="G102" s="483"/>
      <c r="H102" s="483"/>
      <c r="I102" s="483"/>
      <c r="J102" s="483"/>
      <c r="K102" s="483"/>
      <c r="L102" s="483"/>
      <c r="M102" s="483"/>
      <c r="N102" s="484"/>
      <c r="O102" s="231"/>
    </row>
    <row r="103" spans="2:15" ht="15.75" customHeight="1">
      <c r="B103" s="242"/>
      <c r="C103" s="505"/>
      <c r="D103" s="228" t="s">
        <v>2468</v>
      </c>
      <c r="E103" s="116"/>
      <c r="F103" s="116"/>
      <c r="G103" s="485"/>
      <c r="H103" s="485"/>
      <c r="I103" s="485"/>
      <c r="J103" s="485"/>
      <c r="K103" s="485"/>
      <c r="L103" s="485"/>
      <c r="M103" s="485"/>
      <c r="N103" s="486"/>
      <c r="O103" s="228"/>
    </row>
    <row r="104" spans="2:15" ht="15.75" customHeight="1" thickBot="1">
      <c r="B104" s="238"/>
      <c r="C104" s="506"/>
      <c r="D104" s="239" t="s">
        <v>2171</v>
      </c>
      <c r="E104" s="240"/>
      <c r="F104" s="240"/>
      <c r="G104" s="487">
        <f>IF(OEMA=0,"",OEMA)</f>
      </c>
      <c r="H104" s="487"/>
      <c r="I104" s="487"/>
      <c r="J104" s="487"/>
      <c r="K104" s="487"/>
      <c r="L104" s="487"/>
      <c r="M104" s="487"/>
      <c r="N104" s="488"/>
      <c r="O104" s="120"/>
    </row>
    <row r="105" spans="2:15" ht="12" customHeight="1" thickTop="1">
      <c r="B105" s="244"/>
      <c r="C105" s="245"/>
      <c r="D105" s="245"/>
      <c r="E105" s="245"/>
      <c r="F105" s="245"/>
      <c r="G105" s="447"/>
      <c r="H105" s="447"/>
      <c r="I105" s="447"/>
      <c r="J105" s="447"/>
      <c r="K105" s="447"/>
      <c r="L105" s="447"/>
      <c r="M105" s="447"/>
      <c r="N105" s="448"/>
      <c r="O105" s="99"/>
    </row>
    <row r="106" spans="2:15" ht="15.75" customHeight="1">
      <c r="B106" s="234"/>
      <c r="C106" s="498" t="s">
        <v>2147</v>
      </c>
      <c r="D106" s="148" t="s">
        <v>2172</v>
      </c>
      <c r="E106" s="449" t="s">
        <v>1264</v>
      </c>
      <c r="F106" s="121"/>
      <c r="G106" s="148" t="s">
        <v>2244</v>
      </c>
      <c r="H106" s="445"/>
      <c r="I106" s="445"/>
      <c r="J106" s="445"/>
      <c r="K106" s="148" t="s">
        <v>2245</v>
      </c>
      <c r="L106" s="445"/>
      <c r="M106" s="445"/>
      <c r="N106" s="446"/>
      <c r="O106" s="228"/>
    </row>
    <row r="107" spans="2:15" ht="15.75" customHeight="1">
      <c r="B107" s="234"/>
      <c r="C107" s="498"/>
      <c r="D107" s="483"/>
      <c r="E107" s="483"/>
      <c r="F107" s="116"/>
      <c r="G107" s="483"/>
      <c r="H107" s="483"/>
      <c r="I107" s="483"/>
      <c r="J107" s="117"/>
      <c r="K107" s="483"/>
      <c r="L107" s="483"/>
      <c r="M107" s="483"/>
      <c r="N107" s="484"/>
      <c r="O107" s="230"/>
    </row>
    <row r="108" spans="2:15" ht="4.5" customHeight="1">
      <c r="B108" s="234"/>
      <c r="C108" s="119"/>
      <c r="D108" s="117"/>
      <c r="E108" s="120"/>
      <c r="F108" s="116"/>
      <c r="G108" s="117"/>
      <c r="H108" s="117"/>
      <c r="I108" s="117"/>
      <c r="J108" s="117"/>
      <c r="K108" s="117"/>
      <c r="L108" s="117"/>
      <c r="M108" s="117"/>
      <c r="N108" s="235"/>
      <c r="O108" s="230"/>
    </row>
    <row r="109" spans="2:15" ht="15.75" customHeight="1">
      <c r="B109" s="236"/>
      <c r="C109" s="505" t="str">
        <f>IF(CurM13=1,Text1,IF(MemU13=1,"",Text2))</f>
        <v>Please tick the box on the Membership screen before entering contact details.</v>
      </c>
      <c r="D109" s="228" t="s">
        <v>1865</v>
      </c>
      <c r="E109" s="120"/>
      <c r="F109" s="116"/>
      <c r="G109" s="483"/>
      <c r="H109" s="483"/>
      <c r="I109" s="483"/>
      <c r="J109" s="483"/>
      <c r="K109" s="483"/>
      <c r="L109" s="483"/>
      <c r="M109" s="483"/>
      <c r="N109" s="484"/>
      <c r="O109" s="231"/>
    </row>
    <row r="110" spans="2:15" ht="15.75" customHeight="1">
      <c r="B110" s="236"/>
      <c r="C110" s="505"/>
      <c r="D110" s="228" t="s">
        <v>2196</v>
      </c>
      <c r="E110" s="116"/>
      <c r="F110" s="116"/>
      <c r="G110" s="483"/>
      <c r="H110" s="483"/>
      <c r="I110" s="483"/>
      <c r="J110" s="483"/>
      <c r="K110" s="483"/>
      <c r="L110" s="483"/>
      <c r="M110" s="483"/>
      <c r="N110" s="484"/>
      <c r="O110" s="231"/>
    </row>
    <row r="111" spans="2:15" ht="15.75" customHeight="1">
      <c r="B111" s="236"/>
      <c r="C111" s="505"/>
      <c r="D111" s="228" t="s">
        <v>2468</v>
      </c>
      <c r="E111" s="116"/>
      <c r="F111" s="116"/>
      <c r="G111" s="485"/>
      <c r="H111" s="485"/>
      <c r="I111" s="485"/>
      <c r="J111" s="485"/>
      <c r="K111" s="485"/>
      <c r="L111" s="485"/>
      <c r="M111" s="485"/>
      <c r="N111" s="486"/>
      <c r="O111" s="228"/>
    </row>
    <row r="112" spans="2:15" ht="15.75" customHeight="1" thickBot="1">
      <c r="B112" s="238"/>
      <c r="C112" s="506"/>
      <c r="D112" s="239" t="s">
        <v>2171</v>
      </c>
      <c r="E112" s="240"/>
      <c r="F112" s="240"/>
      <c r="G112" s="507">
        <f>IF(OEMA=0,"",OEMA)</f>
      </c>
      <c r="H112" s="507"/>
      <c r="I112" s="507"/>
      <c r="J112" s="507"/>
      <c r="K112" s="507"/>
      <c r="L112" s="507"/>
      <c r="M112" s="507"/>
      <c r="N112" s="508"/>
      <c r="O112" s="120"/>
    </row>
    <row r="113" spans="2:15" ht="12" customHeight="1" thickTop="1">
      <c r="B113" s="244"/>
      <c r="C113" s="245"/>
      <c r="D113" s="245"/>
      <c r="E113" s="245"/>
      <c r="F113" s="245"/>
      <c r="G113" s="447"/>
      <c r="H113" s="447"/>
      <c r="I113" s="447"/>
      <c r="J113" s="447"/>
      <c r="K113" s="447"/>
      <c r="L113" s="447"/>
      <c r="M113" s="447"/>
      <c r="N113" s="448"/>
      <c r="O113" s="99"/>
    </row>
    <row r="114" spans="2:15" ht="15.75" customHeight="1">
      <c r="B114" s="234"/>
      <c r="C114" s="498" t="s">
        <v>2168</v>
      </c>
      <c r="D114" s="148" t="s">
        <v>2172</v>
      </c>
      <c r="E114" s="449" t="s">
        <v>1264</v>
      </c>
      <c r="F114" s="121"/>
      <c r="G114" s="148" t="s">
        <v>2244</v>
      </c>
      <c r="H114" s="445"/>
      <c r="I114" s="445"/>
      <c r="J114" s="445"/>
      <c r="K114" s="148" t="s">
        <v>2245</v>
      </c>
      <c r="L114" s="445"/>
      <c r="M114" s="445"/>
      <c r="N114" s="446"/>
      <c r="O114" s="228"/>
    </row>
    <row r="115" spans="2:15" ht="15.75" customHeight="1">
      <c r="B115" s="236"/>
      <c r="C115" s="498"/>
      <c r="D115" s="483"/>
      <c r="E115" s="483"/>
      <c r="F115" s="116"/>
      <c r="G115" s="483"/>
      <c r="H115" s="483"/>
      <c r="I115" s="483"/>
      <c r="J115" s="117"/>
      <c r="K115" s="483"/>
      <c r="L115" s="483"/>
      <c r="M115" s="483"/>
      <c r="N115" s="484"/>
      <c r="O115" s="230"/>
    </row>
    <row r="116" spans="2:15" ht="4.5" customHeight="1">
      <c r="B116" s="236"/>
      <c r="C116" s="119"/>
      <c r="D116" s="117"/>
      <c r="E116" s="120"/>
      <c r="F116" s="116"/>
      <c r="G116" s="117"/>
      <c r="H116" s="117"/>
      <c r="I116" s="117"/>
      <c r="J116" s="117"/>
      <c r="K116" s="117"/>
      <c r="L116" s="117"/>
      <c r="M116" s="117"/>
      <c r="N116" s="235"/>
      <c r="O116" s="230"/>
    </row>
    <row r="117" spans="2:15" ht="15.75" customHeight="1">
      <c r="B117" s="236"/>
      <c r="C117" s="505" t="str">
        <f>IF(ISERROR(Price14),Text2,IF(CurM14=1,Text1,IF(OR(MemU14=1,Price14=0),"",Text2)))</f>
        <v>Please tick the box on the Membership screen before entering contact details.</v>
      </c>
      <c r="D117" s="228" t="s">
        <v>1865</v>
      </c>
      <c r="E117" s="120"/>
      <c r="F117" s="116"/>
      <c r="G117" s="483"/>
      <c r="H117" s="483"/>
      <c r="I117" s="483"/>
      <c r="J117" s="483"/>
      <c r="K117" s="483"/>
      <c r="L117" s="483"/>
      <c r="M117" s="483"/>
      <c r="N117" s="484"/>
      <c r="O117" s="231"/>
    </row>
    <row r="118" spans="2:15" ht="15.75" customHeight="1">
      <c r="B118" s="236"/>
      <c r="C118" s="505"/>
      <c r="D118" s="228" t="s">
        <v>2196</v>
      </c>
      <c r="E118" s="116"/>
      <c r="F118" s="116"/>
      <c r="G118" s="483"/>
      <c r="H118" s="483"/>
      <c r="I118" s="483"/>
      <c r="J118" s="483"/>
      <c r="K118" s="483"/>
      <c r="L118" s="483"/>
      <c r="M118" s="483"/>
      <c r="N118" s="484"/>
      <c r="O118" s="231"/>
    </row>
    <row r="119" spans="2:15" ht="15.75" customHeight="1">
      <c r="B119" s="242"/>
      <c r="C119" s="505"/>
      <c r="D119" s="228" t="s">
        <v>2468</v>
      </c>
      <c r="E119" s="116"/>
      <c r="F119" s="116"/>
      <c r="G119" s="485"/>
      <c r="H119" s="485"/>
      <c r="I119" s="485"/>
      <c r="J119" s="485"/>
      <c r="K119" s="485"/>
      <c r="L119" s="485"/>
      <c r="M119" s="485"/>
      <c r="N119" s="486"/>
      <c r="O119" s="228"/>
    </row>
    <row r="120" spans="2:15" ht="15.75" customHeight="1" thickBot="1">
      <c r="B120" s="238"/>
      <c r="C120" s="506"/>
      <c r="D120" s="239" t="s">
        <v>2171</v>
      </c>
      <c r="E120" s="240"/>
      <c r="F120" s="240"/>
      <c r="G120" s="487">
        <f>IF(OEMA=0,"",OEMA)</f>
      </c>
      <c r="H120" s="487"/>
      <c r="I120" s="487"/>
      <c r="J120" s="487"/>
      <c r="K120" s="487"/>
      <c r="L120" s="487"/>
      <c r="M120" s="487"/>
      <c r="N120" s="488"/>
      <c r="O120" s="120"/>
    </row>
    <row r="121" spans="2:15" ht="12" customHeight="1" thickTop="1">
      <c r="B121" s="244"/>
      <c r="C121" s="245"/>
      <c r="D121" s="245"/>
      <c r="E121" s="245"/>
      <c r="F121" s="245"/>
      <c r="G121" s="447"/>
      <c r="H121" s="447"/>
      <c r="I121" s="447"/>
      <c r="J121" s="447"/>
      <c r="K121" s="447"/>
      <c r="L121" s="447"/>
      <c r="M121" s="447"/>
      <c r="N121" s="448"/>
      <c r="O121" s="99"/>
    </row>
    <row r="122" spans="2:15" ht="15.75" customHeight="1">
      <c r="B122" s="234"/>
      <c r="C122" s="498" t="s">
        <v>1187</v>
      </c>
      <c r="D122" s="148" t="s">
        <v>2172</v>
      </c>
      <c r="E122" s="449" t="s">
        <v>1264</v>
      </c>
      <c r="F122" s="121"/>
      <c r="G122" s="148" t="s">
        <v>2244</v>
      </c>
      <c r="H122" s="445"/>
      <c r="I122" s="445"/>
      <c r="J122" s="445"/>
      <c r="K122" s="148" t="s">
        <v>2245</v>
      </c>
      <c r="L122" s="445"/>
      <c r="M122" s="445"/>
      <c r="N122" s="446"/>
      <c r="O122" s="228"/>
    </row>
    <row r="123" spans="2:15" ht="15.75" customHeight="1">
      <c r="B123" s="236"/>
      <c r="C123" s="498"/>
      <c r="D123" s="483"/>
      <c r="E123" s="483"/>
      <c r="F123" s="116"/>
      <c r="G123" s="483"/>
      <c r="H123" s="483"/>
      <c r="I123" s="483"/>
      <c r="J123" s="117"/>
      <c r="K123" s="483"/>
      <c r="L123" s="483"/>
      <c r="M123" s="483"/>
      <c r="N123" s="484"/>
      <c r="O123" s="230"/>
    </row>
    <row r="124" spans="2:15" ht="4.5" customHeight="1">
      <c r="B124" s="236"/>
      <c r="C124" s="119"/>
      <c r="D124" s="117"/>
      <c r="E124" s="120"/>
      <c r="F124" s="116"/>
      <c r="G124" s="117"/>
      <c r="H124" s="117"/>
      <c r="I124" s="117"/>
      <c r="J124" s="117"/>
      <c r="K124" s="117"/>
      <c r="L124" s="117"/>
      <c r="M124" s="117"/>
      <c r="N124" s="235"/>
      <c r="O124" s="230"/>
    </row>
    <row r="125" spans="2:15" ht="15.75" customHeight="1">
      <c r="B125" s="236"/>
      <c r="C125" s="505" t="str">
        <f>IF(CurM15=1,Text1,IF(MemU15=1,"",Text2))</f>
        <v>Please tick the box on the Membership screen before entering contact details.</v>
      </c>
      <c r="D125" s="228" t="s">
        <v>1865</v>
      </c>
      <c r="E125" s="120"/>
      <c r="F125" s="116"/>
      <c r="G125" s="483"/>
      <c r="H125" s="483"/>
      <c r="I125" s="483"/>
      <c r="J125" s="483"/>
      <c r="K125" s="483"/>
      <c r="L125" s="483"/>
      <c r="M125" s="483"/>
      <c r="N125" s="484"/>
      <c r="O125" s="231"/>
    </row>
    <row r="126" spans="2:15" ht="15.75" customHeight="1">
      <c r="B126" s="236"/>
      <c r="C126" s="505"/>
      <c r="D126" s="228" t="s">
        <v>2196</v>
      </c>
      <c r="E126" s="116"/>
      <c r="F126" s="116"/>
      <c r="G126" s="483"/>
      <c r="H126" s="483"/>
      <c r="I126" s="483"/>
      <c r="J126" s="483"/>
      <c r="K126" s="483"/>
      <c r="L126" s="483"/>
      <c r="M126" s="483"/>
      <c r="N126" s="484"/>
      <c r="O126" s="231"/>
    </row>
    <row r="127" spans="2:15" ht="15.75" customHeight="1">
      <c r="B127" s="242"/>
      <c r="C127" s="505"/>
      <c r="D127" s="228" t="s">
        <v>2468</v>
      </c>
      <c r="E127" s="116"/>
      <c r="F127" s="116"/>
      <c r="G127" s="485"/>
      <c r="H127" s="485"/>
      <c r="I127" s="485"/>
      <c r="J127" s="485"/>
      <c r="K127" s="485"/>
      <c r="L127" s="485"/>
      <c r="M127" s="485"/>
      <c r="N127" s="486"/>
      <c r="O127" s="228"/>
    </row>
    <row r="128" spans="2:15" ht="15.75" customHeight="1" thickBot="1">
      <c r="B128" s="238"/>
      <c r="C128" s="506"/>
      <c r="D128" s="239" t="s">
        <v>2171</v>
      </c>
      <c r="E128" s="240"/>
      <c r="F128" s="240"/>
      <c r="G128" s="487">
        <f>IF(OEMA=0,"",OEMA)</f>
      </c>
      <c r="H128" s="487"/>
      <c r="I128" s="487"/>
      <c r="J128" s="487"/>
      <c r="K128" s="487"/>
      <c r="L128" s="487"/>
      <c r="M128" s="487"/>
      <c r="N128" s="488"/>
      <c r="O128" s="120"/>
    </row>
    <row r="129" spans="2:15" ht="12" customHeight="1" thickTop="1">
      <c r="B129" s="244"/>
      <c r="C129" s="245"/>
      <c r="D129" s="245"/>
      <c r="E129" s="245"/>
      <c r="F129" s="245"/>
      <c r="G129" s="447"/>
      <c r="H129" s="447"/>
      <c r="I129" s="447"/>
      <c r="J129" s="447"/>
      <c r="K129" s="447"/>
      <c r="L129" s="447"/>
      <c r="M129" s="447"/>
      <c r="N129" s="448"/>
      <c r="O129" s="99"/>
    </row>
    <row r="130" spans="2:15" ht="15.75" customHeight="1">
      <c r="B130" s="234"/>
      <c r="C130" s="498" t="s">
        <v>2149</v>
      </c>
      <c r="D130" s="148" t="s">
        <v>2172</v>
      </c>
      <c r="E130" s="449" t="s">
        <v>1264</v>
      </c>
      <c r="F130" s="121"/>
      <c r="G130" s="148" t="s">
        <v>2244</v>
      </c>
      <c r="H130" s="445"/>
      <c r="I130" s="445"/>
      <c r="J130" s="445"/>
      <c r="K130" s="148" t="s">
        <v>2245</v>
      </c>
      <c r="L130" s="445"/>
      <c r="M130" s="445"/>
      <c r="N130" s="446"/>
      <c r="O130" s="228"/>
    </row>
    <row r="131" spans="2:15" ht="15.75" customHeight="1">
      <c r="B131" s="236"/>
      <c r="C131" s="498"/>
      <c r="D131" s="483"/>
      <c r="E131" s="483"/>
      <c r="F131" s="116"/>
      <c r="G131" s="483"/>
      <c r="H131" s="483"/>
      <c r="I131" s="483"/>
      <c r="J131" s="117"/>
      <c r="K131" s="483"/>
      <c r="L131" s="483"/>
      <c r="M131" s="483"/>
      <c r="N131" s="484"/>
      <c r="O131" s="230"/>
    </row>
    <row r="132" spans="2:15" ht="4.5" customHeight="1">
      <c r="B132" s="236"/>
      <c r="C132" s="119"/>
      <c r="D132" s="117"/>
      <c r="E132" s="120"/>
      <c r="F132" s="116"/>
      <c r="G132" s="117"/>
      <c r="H132" s="117"/>
      <c r="I132" s="117"/>
      <c r="J132" s="117"/>
      <c r="K132" s="117"/>
      <c r="L132" s="117"/>
      <c r="M132" s="117"/>
      <c r="N132" s="235"/>
      <c r="O132" s="230"/>
    </row>
    <row r="133" spans="2:15" ht="15.75" customHeight="1">
      <c r="B133" s="236"/>
      <c r="C133" s="505" t="str">
        <f>IF(CurM16=1,Text1,IF(MemU16=1,"",Text2))</f>
        <v>Please tick the box on the Membership screen before entering contact details.</v>
      </c>
      <c r="D133" s="228" t="s">
        <v>1865</v>
      </c>
      <c r="E133" s="120"/>
      <c r="F133" s="116"/>
      <c r="G133" s="483"/>
      <c r="H133" s="483"/>
      <c r="I133" s="483"/>
      <c r="J133" s="483"/>
      <c r="K133" s="483"/>
      <c r="L133" s="483"/>
      <c r="M133" s="483"/>
      <c r="N133" s="484"/>
      <c r="O133" s="231"/>
    </row>
    <row r="134" spans="2:15" ht="15.75" customHeight="1">
      <c r="B134" s="236"/>
      <c r="C134" s="505"/>
      <c r="D134" s="228" t="s">
        <v>2196</v>
      </c>
      <c r="E134" s="116"/>
      <c r="F134" s="116"/>
      <c r="G134" s="483"/>
      <c r="H134" s="483"/>
      <c r="I134" s="483"/>
      <c r="J134" s="483"/>
      <c r="K134" s="483"/>
      <c r="L134" s="483"/>
      <c r="M134" s="483"/>
      <c r="N134" s="484"/>
      <c r="O134" s="231"/>
    </row>
    <row r="135" spans="2:15" ht="15.75" customHeight="1">
      <c r="B135" s="242"/>
      <c r="C135" s="505"/>
      <c r="D135" s="228" t="s">
        <v>2468</v>
      </c>
      <c r="E135" s="116"/>
      <c r="F135" s="116"/>
      <c r="G135" s="485"/>
      <c r="H135" s="485"/>
      <c r="I135" s="485"/>
      <c r="J135" s="485"/>
      <c r="K135" s="485"/>
      <c r="L135" s="485"/>
      <c r="M135" s="485"/>
      <c r="N135" s="486"/>
      <c r="O135" s="228"/>
    </row>
    <row r="136" spans="2:15" ht="15.75" customHeight="1" thickBot="1">
      <c r="B136" s="238"/>
      <c r="C136" s="506"/>
      <c r="D136" s="239" t="s">
        <v>2171</v>
      </c>
      <c r="E136" s="240"/>
      <c r="F136" s="240"/>
      <c r="G136" s="507">
        <f>IF(OEMA=0,"",OEMA)</f>
      </c>
      <c r="H136" s="507"/>
      <c r="I136" s="507"/>
      <c r="J136" s="507"/>
      <c r="K136" s="507"/>
      <c r="L136" s="507"/>
      <c r="M136" s="507"/>
      <c r="N136" s="508"/>
      <c r="O136" s="120"/>
    </row>
    <row r="137" spans="2:15" ht="12" customHeight="1" thickTop="1">
      <c r="B137" s="244"/>
      <c r="C137" s="245"/>
      <c r="D137" s="245"/>
      <c r="E137" s="245"/>
      <c r="F137" s="245"/>
      <c r="G137" s="447"/>
      <c r="H137" s="447"/>
      <c r="I137" s="447"/>
      <c r="J137" s="447"/>
      <c r="K137" s="447"/>
      <c r="L137" s="447"/>
      <c r="M137" s="447"/>
      <c r="N137" s="448"/>
      <c r="O137" s="99"/>
    </row>
    <row r="138" spans="2:15" ht="15.75" customHeight="1">
      <c r="B138" s="234"/>
      <c r="C138" s="498" t="s">
        <v>1488</v>
      </c>
      <c r="D138" s="148" t="s">
        <v>2172</v>
      </c>
      <c r="E138" s="449" t="s">
        <v>1264</v>
      </c>
      <c r="F138" s="121"/>
      <c r="G138" s="148" t="s">
        <v>2244</v>
      </c>
      <c r="H138" s="445"/>
      <c r="I138" s="445"/>
      <c r="J138" s="445"/>
      <c r="K138" s="148" t="s">
        <v>2245</v>
      </c>
      <c r="L138" s="445"/>
      <c r="M138" s="445"/>
      <c r="N138" s="446"/>
      <c r="O138" s="228"/>
    </row>
    <row r="139" spans="2:15" ht="15.75" customHeight="1">
      <c r="B139" s="236"/>
      <c r="C139" s="498"/>
      <c r="D139" s="483"/>
      <c r="E139" s="483"/>
      <c r="F139" s="116"/>
      <c r="G139" s="483"/>
      <c r="H139" s="483"/>
      <c r="I139" s="483"/>
      <c r="J139" s="117"/>
      <c r="K139" s="483"/>
      <c r="L139" s="483"/>
      <c r="M139" s="483"/>
      <c r="N139" s="484"/>
      <c r="O139" s="230"/>
    </row>
    <row r="140" spans="2:15" ht="4.5" customHeight="1">
      <c r="B140" s="236"/>
      <c r="C140" s="119"/>
      <c r="D140" s="117"/>
      <c r="E140" s="120"/>
      <c r="F140" s="116"/>
      <c r="G140" s="117"/>
      <c r="H140" s="117"/>
      <c r="I140" s="117"/>
      <c r="J140" s="117"/>
      <c r="K140" s="117"/>
      <c r="L140" s="117"/>
      <c r="M140" s="117"/>
      <c r="N140" s="235"/>
      <c r="O140" s="230"/>
    </row>
    <row r="141" spans="2:15" ht="15.75" customHeight="1">
      <c r="B141" s="236"/>
      <c r="C141" s="505">
        <f>IF(CurM17=1,Text1,IF(AND(Tier3="d",MemM17=0),Text3,""))</f>
      </c>
      <c r="D141" s="228" t="s">
        <v>1865</v>
      </c>
      <c r="E141" s="120"/>
      <c r="F141" s="116"/>
      <c r="G141" s="483"/>
      <c r="H141" s="483"/>
      <c r="I141" s="483"/>
      <c r="J141" s="483"/>
      <c r="K141" s="483"/>
      <c r="L141" s="483"/>
      <c r="M141" s="483"/>
      <c r="N141" s="484"/>
      <c r="O141" s="231"/>
    </row>
    <row r="142" spans="2:15" ht="15.75" customHeight="1">
      <c r="B142" s="236"/>
      <c r="C142" s="505"/>
      <c r="D142" s="228" t="s">
        <v>2196</v>
      </c>
      <c r="E142" s="116"/>
      <c r="F142" s="116"/>
      <c r="G142" s="483"/>
      <c r="H142" s="483"/>
      <c r="I142" s="483"/>
      <c r="J142" s="483"/>
      <c r="K142" s="483"/>
      <c r="L142" s="483"/>
      <c r="M142" s="483"/>
      <c r="N142" s="484"/>
      <c r="O142" s="231"/>
    </row>
    <row r="143" spans="2:15" ht="15.75" customHeight="1">
      <c r="B143" s="242"/>
      <c r="C143" s="505"/>
      <c r="D143" s="228" t="s">
        <v>2468</v>
      </c>
      <c r="E143" s="116"/>
      <c r="F143" s="116"/>
      <c r="G143" s="485"/>
      <c r="H143" s="485"/>
      <c r="I143" s="485"/>
      <c r="J143" s="485"/>
      <c r="K143" s="485"/>
      <c r="L143" s="485"/>
      <c r="M143" s="485"/>
      <c r="N143" s="486"/>
      <c r="O143" s="228"/>
    </row>
    <row r="144" spans="2:15" ht="15.75" customHeight="1" thickBot="1">
      <c r="B144" s="238"/>
      <c r="C144" s="506"/>
      <c r="D144" s="239" t="s">
        <v>2171</v>
      </c>
      <c r="E144" s="240"/>
      <c r="F144" s="240"/>
      <c r="G144" s="507">
        <f>IF(OEMA=0,"",OEMA)</f>
      </c>
      <c r="H144" s="507"/>
      <c r="I144" s="507"/>
      <c r="J144" s="507"/>
      <c r="K144" s="507"/>
      <c r="L144" s="507"/>
      <c r="M144" s="507"/>
      <c r="N144" s="508"/>
      <c r="O144" s="120"/>
    </row>
    <row r="145" spans="7:14" ht="13.5" thickTop="1">
      <c r="G145" s="252"/>
      <c r="H145" s="252"/>
      <c r="I145" s="252"/>
      <c r="J145" s="252"/>
      <c r="K145" s="252"/>
      <c r="L145" s="252"/>
      <c r="M145" s="252"/>
      <c r="N145" s="252"/>
    </row>
    <row r="148" spans="1:5" ht="12.75">
      <c r="A148" s="9"/>
      <c r="D148" s="65"/>
      <c r="E148" s="65"/>
    </row>
    <row r="149" ht="12.75"/>
  </sheetData>
  <sheetProtection password="CF39" sheet="1"/>
  <mergeCells count="166">
    <mergeCell ref="G71:N71"/>
    <mergeCell ref="G51:I51"/>
    <mergeCell ref="K59:N59"/>
    <mergeCell ref="D67:E67"/>
    <mergeCell ref="C42:C43"/>
    <mergeCell ref="C34:C35"/>
    <mergeCell ref="C93:C96"/>
    <mergeCell ref="D35:E35"/>
    <mergeCell ref="D19:E19"/>
    <mergeCell ref="C98:C99"/>
    <mergeCell ref="C58:C59"/>
    <mergeCell ref="C29:C32"/>
    <mergeCell ref="C37:C40"/>
    <mergeCell ref="C45:C48"/>
    <mergeCell ref="C82:C83"/>
    <mergeCell ref="C61:C64"/>
    <mergeCell ref="C66:C67"/>
    <mergeCell ref="C69:C72"/>
    <mergeCell ref="D43:E43"/>
    <mergeCell ref="G32:N32"/>
    <mergeCell ref="G39:N39"/>
    <mergeCell ref="G40:N40"/>
    <mergeCell ref="G43:I43"/>
    <mergeCell ref="C106:C107"/>
    <mergeCell ref="C74:C75"/>
    <mergeCell ref="G117:N117"/>
    <mergeCell ref="G109:N109"/>
    <mergeCell ref="K107:N107"/>
    <mergeCell ref="G111:N111"/>
    <mergeCell ref="G110:N110"/>
    <mergeCell ref="C90:C91"/>
    <mergeCell ref="D75:E75"/>
    <mergeCell ref="C101:C104"/>
    <mergeCell ref="B1:N1"/>
    <mergeCell ref="B3:N3"/>
    <mergeCell ref="B4:N4"/>
    <mergeCell ref="G16:N16"/>
    <mergeCell ref="D11:E11"/>
    <mergeCell ref="G11:I11"/>
    <mergeCell ref="G15:N15"/>
    <mergeCell ref="C13:C16"/>
    <mergeCell ref="G13:N13"/>
    <mergeCell ref="G14:N14"/>
    <mergeCell ref="G61:N61"/>
    <mergeCell ref="G78:N78"/>
    <mergeCell ref="G75:I75"/>
    <mergeCell ref="G112:N112"/>
    <mergeCell ref="G102:N102"/>
    <mergeCell ref="G77:N77"/>
    <mergeCell ref="G88:N88"/>
    <mergeCell ref="G64:N64"/>
    <mergeCell ref="G86:N86"/>
    <mergeCell ref="G72:N72"/>
    <mergeCell ref="G126:N126"/>
    <mergeCell ref="G107:I107"/>
    <mergeCell ref="G123:I123"/>
    <mergeCell ref="K123:N123"/>
    <mergeCell ref="G118:N118"/>
    <mergeCell ref="G47:N47"/>
    <mergeCell ref="K19:N19"/>
    <mergeCell ref="G103:N103"/>
    <mergeCell ref="G104:N104"/>
    <mergeCell ref="G101:N101"/>
    <mergeCell ref="G94:N94"/>
    <mergeCell ref="K99:N99"/>
    <mergeCell ref="G99:I99"/>
    <mergeCell ref="G95:N95"/>
    <mergeCell ref="G59:I59"/>
    <mergeCell ref="C26:C27"/>
    <mergeCell ref="C21:C24"/>
    <mergeCell ref="K27:N27"/>
    <mergeCell ref="G23:N23"/>
    <mergeCell ref="D27:E27"/>
    <mergeCell ref="C53:C56"/>
    <mergeCell ref="C50:C51"/>
    <mergeCell ref="D51:E51"/>
    <mergeCell ref="K51:N51"/>
    <mergeCell ref="G53:N53"/>
    <mergeCell ref="G54:N54"/>
    <mergeCell ref="G56:N56"/>
    <mergeCell ref="D59:E59"/>
    <mergeCell ref="D83:E83"/>
    <mergeCell ref="G80:N80"/>
    <mergeCell ref="G63:N63"/>
    <mergeCell ref="K83:N83"/>
    <mergeCell ref="G79:N79"/>
    <mergeCell ref="G69:N69"/>
    <mergeCell ref="K75:N75"/>
    <mergeCell ref="G70:N70"/>
    <mergeCell ref="K67:N67"/>
    <mergeCell ref="D131:E131"/>
    <mergeCell ref="C85:C88"/>
    <mergeCell ref="C130:C131"/>
    <mergeCell ref="C114:C115"/>
    <mergeCell ref="C122:C123"/>
    <mergeCell ref="C109:C112"/>
    <mergeCell ref="C125:C128"/>
    <mergeCell ref="D123:E123"/>
    <mergeCell ref="D107:E107"/>
    <mergeCell ref="C117:C120"/>
    <mergeCell ref="C77:C80"/>
    <mergeCell ref="D99:E99"/>
    <mergeCell ref="G85:N85"/>
    <mergeCell ref="G91:I91"/>
    <mergeCell ref="G93:N93"/>
    <mergeCell ref="K91:N91"/>
    <mergeCell ref="D91:E91"/>
    <mergeCell ref="G35:I35"/>
    <mergeCell ref="G96:N96"/>
    <mergeCell ref="G83:I83"/>
    <mergeCell ref="G37:N37"/>
    <mergeCell ref="G38:N38"/>
    <mergeCell ref="G45:N45"/>
    <mergeCell ref="G46:N46"/>
    <mergeCell ref="K43:N43"/>
    <mergeCell ref="G67:I67"/>
    <mergeCell ref="G62:N62"/>
    <mergeCell ref="G55:N55"/>
    <mergeCell ref="K115:N115"/>
    <mergeCell ref="C141:C144"/>
    <mergeCell ref="G141:N141"/>
    <mergeCell ref="G142:N142"/>
    <mergeCell ref="G143:N143"/>
    <mergeCell ref="G144:N144"/>
    <mergeCell ref="G125:N125"/>
    <mergeCell ref="D115:E115"/>
    <mergeCell ref="G115:I115"/>
    <mergeCell ref="C133:C136"/>
    <mergeCell ref="G135:N135"/>
    <mergeCell ref="G134:N134"/>
    <mergeCell ref="G136:N136"/>
    <mergeCell ref="G133:N133"/>
    <mergeCell ref="AG1:AI1"/>
    <mergeCell ref="AI21:AI22"/>
    <mergeCell ref="AH21:AH22"/>
    <mergeCell ref="G9:N9"/>
    <mergeCell ref="K11:N11"/>
    <mergeCell ref="B2:O2"/>
    <mergeCell ref="C10:C11"/>
    <mergeCell ref="B6:C8"/>
    <mergeCell ref="C18:C19"/>
    <mergeCell ref="G19:I19"/>
    <mergeCell ref="C138:C139"/>
    <mergeCell ref="D139:E139"/>
    <mergeCell ref="G139:I139"/>
    <mergeCell ref="K139:N139"/>
    <mergeCell ref="G131:I131"/>
    <mergeCell ref="K131:N131"/>
    <mergeCell ref="G120:N120"/>
    <mergeCell ref="D6:N8"/>
    <mergeCell ref="K35:N35"/>
    <mergeCell ref="G128:N128"/>
    <mergeCell ref="G127:N127"/>
    <mergeCell ref="G119:N119"/>
    <mergeCell ref="G48:N48"/>
    <mergeCell ref="G87:N87"/>
    <mergeCell ref="G30:N30"/>
    <mergeCell ref="G31:N31"/>
    <mergeCell ref="G24:N24"/>
    <mergeCell ref="G21:N21"/>
    <mergeCell ref="G27:I27"/>
    <mergeCell ref="G29:N29"/>
    <mergeCell ref="AJ21:AJ22"/>
    <mergeCell ref="AF21:AF22"/>
    <mergeCell ref="AG21:AG22"/>
    <mergeCell ref="G22:N22"/>
  </mergeCells>
  <conditionalFormatting sqref="AF21:AJ21">
    <cfRule type="cellIs" priority="341" dxfId="46" operator="notEqual" stopIfTrue="1">
      <formula>"ok"</formula>
    </cfRule>
  </conditionalFormatting>
  <conditionalFormatting sqref="D11 G11 K11 G13:G16">
    <cfRule type="expression" priority="394" dxfId="1" stopIfTrue="1">
      <formula>OR(CurM1=1,MemM1=0)</formula>
    </cfRule>
  </conditionalFormatting>
  <conditionalFormatting sqref="D59 G59 K59 G61:G64">
    <cfRule type="expression" priority="412" dxfId="1" stopIfTrue="1">
      <formula>OR(CurM7=1,MemM7=0)</formula>
    </cfRule>
  </conditionalFormatting>
  <conditionalFormatting sqref="D83 G83 K83 G85:G88">
    <cfRule type="expression" priority="421" dxfId="1" stopIfTrue="1">
      <formula>OR(CurM10=1,MemM10=0)</formula>
    </cfRule>
  </conditionalFormatting>
  <conditionalFormatting sqref="G93:G96">
    <cfRule type="expression" priority="424" dxfId="1" stopIfTrue="1">
      <formula>OR(CurM11=1,MemM11=0)</formula>
    </cfRule>
  </conditionalFormatting>
  <conditionalFormatting sqref="D99 G99 K99 G101:G104">
    <cfRule type="expression" priority="427" dxfId="1" stopIfTrue="1">
      <formula>OR(CurM12=1,MemM12=0)</formula>
    </cfRule>
  </conditionalFormatting>
  <conditionalFormatting sqref="D115 G115 K115 G117:G120">
    <cfRule type="expression" priority="433" dxfId="1" stopIfTrue="1">
      <formula>OR(CurM14=1,MemM14=0)</formula>
    </cfRule>
  </conditionalFormatting>
  <conditionalFormatting sqref="D131 G131 K131 G133:G136">
    <cfRule type="expression" priority="439" dxfId="1" stopIfTrue="1">
      <formula>OR(CurM16=1,MemM16=0)</formula>
    </cfRule>
  </conditionalFormatting>
  <conditionalFormatting sqref="G130 K130 D133:D136 D130:E130">
    <cfRule type="expression" priority="591" dxfId="2" stopIfTrue="1">
      <formula>CurM16=1</formula>
    </cfRule>
  </conditionalFormatting>
  <conditionalFormatting sqref="D122:E122 G122 K122 D125:D128">
    <cfRule type="expression" priority="592" dxfId="2" stopIfTrue="1">
      <formula>CurM15=1</formula>
    </cfRule>
  </conditionalFormatting>
  <conditionalFormatting sqref="D114:E114 G114 K114 D117:D120">
    <cfRule type="expression" priority="10" dxfId="2" stopIfTrue="1">
      <formula>CurM14=1</formula>
    </cfRule>
    <cfRule type="expression" priority="593" dxfId="14" stopIfTrue="1">
      <formula>Price14=0</formula>
    </cfRule>
  </conditionalFormatting>
  <conditionalFormatting sqref="D106:E106 G106 K106 D109:D112">
    <cfRule type="expression" priority="594" dxfId="2" stopIfTrue="1">
      <formula>CurM13=1</formula>
    </cfRule>
  </conditionalFormatting>
  <conditionalFormatting sqref="D98:E98 G98 K98 D101:D104">
    <cfRule type="expression" priority="7" dxfId="2" stopIfTrue="1">
      <formula>CurM12=1</formula>
    </cfRule>
    <cfRule type="expression" priority="595" dxfId="22" stopIfTrue="1">
      <formula>Price12=0</formula>
    </cfRule>
  </conditionalFormatting>
  <conditionalFormatting sqref="D90:E90 G90 K90 D93:D96">
    <cfRule type="expression" priority="596" dxfId="2" stopIfTrue="1">
      <formula>CurM11=1</formula>
    </cfRule>
  </conditionalFormatting>
  <conditionalFormatting sqref="D82:E82 G82 K82 D85:D88">
    <cfRule type="expression" priority="597" dxfId="2" stopIfTrue="1">
      <formula>CurM10=1</formula>
    </cfRule>
  </conditionalFormatting>
  <conditionalFormatting sqref="D74:E74 G74 K74 D77:D80">
    <cfRule type="expression" priority="598" dxfId="2" stopIfTrue="1">
      <formula>CurM9=1</formula>
    </cfRule>
  </conditionalFormatting>
  <conditionalFormatting sqref="D66:E66 G66 K66 D69:D72">
    <cfRule type="expression" priority="599" dxfId="2" stopIfTrue="1">
      <formula>CurM8=1</formula>
    </cfRule>
  </conditionalFormatting>
  <conditionalFormatting sqref="D58:E58 G58 K58 D61:D64">
    <cfRule type="expression" priority="600" dxfId="2" stopIfTrue="1">
      <formula>CurM7=1</formula>
    </cfRule>
  </conditionalFormatting>
  <conditionalFormatting sqref="D50:E50 G50 K50 D53:D56">
    <cfRule type="expression" priority="601" dxfId="2" stopIfTrue="1">
      <formula>CurM6=1</formula>
    </cfRule>
  </conditionalFormatting>
  <conditionalFormatting sqref="D42:E42 G42 K42 D45:D48">
    <cfRule type="expression" priority="8" dxfId="2" stopIfTrue="1">
      <formula>CurM5=1</formula>
    </cfRule>
    <cfRule type="expression" priority="602" dxfId="14" stopIfTrue="1">
      <formula>Price5=0</formula>
    </cfRule>
  </conditionalFormatting>
  <conditionalFormatting sqref="D34:E34 G34 K34 D37:D40">
    <cfRule type="expression" priority="9" dxfId="2" stopIfTrue="1">
      <formula>CurM4=1</formula>
    </cfRule>
    <cfRule type="expression" priority="603" dxfId="22" stopIfTrue="1">
      <formula>Price4=0</formula>
    </cfRule>
  </conditionalFormatting>
  <conditionalFormatting sqref="D26:E26 G26 J26:K26 D29:D32">
    <cfRule type="expression" priority="604" dxfId="2" stopIfTrue="1">
      <formula>CurM3=1</formula>
    </cfRule>
  </conditionalFormatting>
  <conditionalFormatting sqref="D10:E10 G10 K10 D13:D16">
    <cfRule type="expression" priority="606" dxfId="2" stopIfTrue="1">
      <formula>CurM1=1</formula>
    </cfRule>
  </conditionalFormatting>
  <conditionalFormatting sqref="C34">
    <cfRule type="expression" priority="726" dxfId="13" stopIfTrue="1">
      <formula>Price4=0</formula>
    </cfRule>
  </conditionalFormatting>
  <conditionalFormatting sqref="C42">
    <cfRule type="expression" priority="727" dxfId="13" stopIfTrue="1">
      <formula>Price5=0</formula>
    </cfRule>
  </conditionalFormatting>
  <conditionalFormatting sqref="C98">
    <cfRule type="expression" priority="728" dxfId="13" stopIfTrue="1">
      <formula>Price12=0</formula>
    </cfRule>
  </conditionalFormatting>
  <conditionalFormatting sqref="C114">
    <cfRule type="expression" priority="729" dxfId="13" stopIfTrue="1">
      <formula>Price14=0</formula>
    </cfRule>
  </conditionalFormatting>
  <conditionalFormatting sqref="G138 K138 D141:D144 D138:E138">
    <cfRule type="expression" priority="6" dxfId="2" stopIfTrue="1">
      <formula>CurM17=1</formula>
    </cfRule>
    <cfRule type="expression" priority="32" dxfId="14" stopIfTrue="1">
      <formula>Tier3&lt;&gt;"d"</formula>
    </cfRule>
  </conditionalFormatting>
  <conditionalFormatting sqref="C138">
    <cfRule type="expression" priority="24" dxfId="13" stopIfTrue="1">
      <formula>Tier3&lt;&gt;"d"</formula>
    </cfRule>
  </conditionalFormatting>
  <conditionalFormatting sqref="D27 G27 K27 G29:G32">
    <cfRule type="expression" priority="400" dxfId="1" stopIfTrue="1">
      <formula>OR(CurM3=1,MemM3=0)</formula>
    </cfRule>
  </conditionalFormatting>
  <conditionalFormatting sqref="D35 G35 K35 G37:G40">
    <cfRule type="expression" priority="403" dxfId="1" stopIfTrue="1">
      <formula>OR(CurM4=1,MemM4=0)</formula>
    </cfRule>
  </conditionalFormatting>
  <conditionalFormatting sqref="D43 G43 K43 G45:G48">
    <cfRule type="expression" priority="406" dxfId="1" stopIfTrue="1">
      <formula>OR(CurM5=1,MemM5=0)</formula>
    </cfRule>
  </conditionalFormatting>
  <conditionalFormatting sqref="D51 G51 K51 G53:G56">
    <cfRule type="expression" priority="409" dxfId="1" stopIfTrue="1">
      <formula>OR(CurM6=1,MemM6=0)</formula>
    </cfRule>
  </conditionalFormatting>
  <conditionalFormatting sqref="D67 G67 K67 G69:G72">
    <cfRule type="expression" priority="415" dxfId="1" stopIfTrue="1">
      <formula>OR(CurM8=1,MemM8=0)</formula>
    </cfRule>
  </conditionalFormatting>
  <conditionalFormatting sqref="D75 G75 K75 G77:G80">
    <cfRule type="expression" priority="418" dxfId="1" stopIfTrue="1">
      <formula>OR(CurM9=1,MemM9=0)</formula>
    </cfRule>
  </conditionalFormatting>
  <conditionalFormatting sqref="D107 G107 K107 G109:G112">
    <cfRule type="expression" priority="430" dxfId="1" stopIfTrue="1">
      <formula>OR(CurM13=1,MemM13=0)</formula>
    </cfRule>
  </conditionalFormatting>
  <conditionalFormatting sqref="D123 G123 K123 G125:G128">
    <cfRule type="expression" priority="436" dxfId="1" stopIfTrue="1">
      <formula>OR(CurM15=1,MemM15=0)</formula>
    </cfRule>
  </conditionalFormatting>
  <conditionalFormatting sqref="D139 G139 K139 G141:G144">
    <cfRule type="expression" priority="26" dxfId="1" stopIfTrue="1">
      <formula>OR(CurM17=1,MemM17=0)</formula>
    </cfRule>
  </conditionalFormatting>
  <conditionalFormatting sqref="D19 G19 K19 G21:G24">
    <cfRule type="expression" priority="2" dxfId="1" stopIfTrue="1">
      <formula>OR(CurM2=1,MemM2=0)</formula>
    </cfRule>
  </conditionalFormatting>
  <conditionalFormatting sqref="D18:E18 G18 K18 D21:D24">
    <cfRule type="expression" priority="3" dxfId="2" stopIfTrue="1">
      <formula>CurM2=1</formula>
    </cfRule>
  </conditionalFormatting>
  <conditionalFormatting sqref="D91 G91 K91">
    <cfRule type="expression" priority="1" dxfId="1" stopIfTrue="1">
      <formula>OR(CurM3=1,MemM3=0)</formula>
    </cfRule>
  </conditionalFormatting>
  <dataValidations count="18">
    <dataValidation type="custom" allowBlank="1" showInputMessage="1" showErrorMessage="1" errorTitle="This club has not been chosen." error="Please Cancel, then tick the box on the Membership screen before entering contact details for this club." sqref="D35:D36 G35:G40 L36:N36 J35:K36 H36:I36">
      <formula1>MemM4=1</formula1>
    </dataValidation>
    <dataValidation type="custom" allowBlank="1" showInputMessage="1" showErrorMessage="1" errorTitle="This club has not been chosen." error="Please Cancel, then tick the box on the Membership screen before entering contact details for this club." sqref="D44 K44:N44 K115 G115 D115 J43:J44 G44:I44 G117:G120">
      <formula1>MemM14=1</formula1>
    </dataValidation>
    <dataValidation type="custom" allowBlank="1" showInputMessage="1" showErrorMessage="1" errorTitle="This club has not been chosen." error="Please Cancel, then tick the box on the Membership screen before entering contact details for this club." sqref="K52:N52 G52:I52 J51:J52 K43 G43 D43 D52 G45:G48">
      <formula1>MemM5=1</formula1>
    </dataValidation>
    <dataValidation type="custom" allowBlank="1" showInputMessage="1" showErrorMessage="1" errorTitle="This club has not been chosen." error="Please Cancel, then tick the box on the Membership screen before entering contact details for this club." sqref="K60:N60 G60:I60 J59:J60 K51 G51 D51 D60 G53:G56">
      <formula1>MemM6=1</formula1>
    </dataValidation>
    <dataValidation type="custom" allowBlank="1" showInputMessage="1" showErrorMessage="1" errorTitle="This club has not been chosen." error="Please Cancel, then tick the box on the Membership screen before entering contact details for this club." sqref="K68:N68 G68:I68 J67:J68 K59 G59 D59 D68 G61:G64">
      <formula1>MemM7=1</formula1>
    </dataValidation>
    <dataValidation type="custom" allowBlank="1" showInputMessage="1" showErrorMessage="1" errorTitle="This club has not been chosen." error="Please Cancel, then tick the box on the Membership screen before entering contact details for this club." sqref="K76:N76 G76:I76 J75:J76 K67 G67 D67 D76 G69:G72">
      <formula1>MemM8=1</formula1>
    </dataValidation>
    <dataValidation type="custom" allowBlank="1" showInputMessage="1" showErrorMessage="1" errorTitle="This club has not been chosen." error="Please Cancel, then tick the box on the Membership screen before entering contact details for this club." sqref="K84:N84 G84:I84 J83:J84 K75 G75 D75 D84 G77:G80">
      <formula1>MemM9=1</formula1>
    </dataValidation>
    <dataValidation type="custom" allowBlank="1" showInputMessage="1" showErrorMessage="1" errorTitle="This club has not been chosen." error="Please Cancel, then tick the box on the Membership screen before entering contact details for this club." sqref="G85:G88 K83 G83 D83 D92 G92:N92">
      <formula1>MemM10=1</formula1>
    </dataValidation>
    <dataValidation type="custom" allowBlank="1" showInputMessage="1" showErrorMessage="1" errorTitle="This club has not been chosen." error="Please Cancel, then tick the box on the Membership screen before entering contact details for this club." sqref="K100:N100 G100:I100 J99:J100 G93:G96 D100">
      <formula1>MemM11=1</formula1>
    </dataValidation>
    <dataValidation type="custom" allowBlank="1" showInputMessage="1" showErrorMessage="1" errorTitle="This club has not been chosen." error="Please Cancel, then tick the box on the Membership screen before entering contact details for this club." sqref="K108:N108 G124:I124 J123:J124 G116:I116 J115:J116 J107:J108 K99 G99 D99 G108:I108 G113 D108 K124:N124 D124 G121 D116 K116:N116 G101:G104">
      <formula1>MemM12=1</formula1>
    </dataValidation>
    <dataValidation type="custom" allowBlank="1" showInputMessage="1" showErrorMessage="1" errorTitle="This club has not been chosen." error="Please Cancel, then tick the box on the Membership screen before entering contact details for this club." sqref="K132:N132 G132:I132 J131:J132 K107 G107 D107 D140 D132 K140:N140 G140:I140 J139:J140 G109:G112">
      <formula1>MemM13=1</formula1>
    </dataValidation>
    <dataValidation allowBlank="1" showInputMessage="1" showErrorMessage="1" sqref="G42:N42 G122:N122 G114:N114 G34:N34 G18:N18 G130:N130 G106:N106 G98:N98 G90:N90 G82:N82 G74:N74 G66:N66 G58:N58 G50:N50 G138:N138"/>
    <dataValidation type="custom" allowBlank="1" showInputMessage="1" showErrorMessage="1" errorTitle="This club has not been chosen." error="Please Cancel, then tick the box on the Membership screen before entering contact details for this club." sqref="D11:D12 G11:G16 L12:N12 J11:K12 H12:I12">
      <formula1>MemM1=1</formula1>
    </dataValidation>
    <dataValidation type="custom" allowBlank="1" showInputMessage="1" showErrorMessage="1" errorTitle="This club has not been chosen." error="Please Cancel, then tick the box on the Membership screen before entering contact details for this club." sqref="D19:D20 G19:G24 L20:N20 J19:K20 H20:I20">
      <formula1>MemM2=1</formula1>
    </dataValidation>
    <dataValidation type="custom" allowBlank="1" showInputMessage="1" showErrorMessage="1" errorTitle="This club has not been chosen." error="Please Cancel, then tick the box on the Membership screen before entering contact details for this club." sqref="D27:D28 G27:G32 L28:N28 J27:K28 H28:I28 D91 G91 J91:K91">
      <formula1>MemM3=1</formula1>
    </dataValidation>
    <dataValidation type="custom" allowBlank="1" showInputMessage="1" showErrorMessage="1" errorTitle="This club has not been chosen." error="Please Cancel, then tick the box on the Membership screen before entering contact details for this club." sqref="K123 G123 D123 G125:G128">
      <formula1>MemM15=1</formula1>
    </dataValidation>
    <dataValidation type="custom" allowBlank="1" showInputMessage="1" showErrorMessage="1" errorTitle="This club has not been chosen." error="Please Cancel, then tick the box on the Membership screen before entering contact details for this club." sqref="D131 K131 G131 G133:G136">
      <formula1>MemM16=1</formula1>
    </dataValidation>
    <dataValidation type="custom" allowBlank="1" showInputMessage="1" showErrorMessage="1" errorTitle="District Core Back-Office" error="Please Cancel.&#10;This club is available to District Councils only. To take part you must join at least one other club on the Membership screen." sqref="D139:E139 G139:H139 K139:N139 G141:N144">
      <formula1>MemM17=1</formula1>
    </dataValidation>
  </dataValidations>
  <hyperlinks>
    <hyperlink ref="B2" r:id="rId1" tooltip="Click here to open an email to BMDirect@ipf.co.uk" display="Please return this file to BMDirect@ipf.co.uk"/>
    <hyperlink ref="B2:O2" r:id="rId2" tooltip="Click here to open an email to BMDirect@cipfa.org" display="Please email this file to BMDirect@cipfa.org"/>
  </hyperlinks>
  <printOptions horizontalCentered="1"/>
  <pageMargins left="0.2362204724409449" right="0.2362204724409449" top="0.73" bottom="0.58" header="0.5" footer="0.43"/>
  <pageSetup fitToHeight="0" fitToWidth="1" horizontalDpi="600" verticalDpi="600" orientation="portrait" paperSize="9" scale="84" r:id="rId4"/>
  <headerFooter alignWithMargins="0">
    <oddFooter>&amp;C&amp;9&amp;P of &amp;N</oddFooter>
  </headerFooter>
  <rowBreaks count="2" manualBreakCount="2">
    <brk id="56" max="255" man="1"/>
    <brk id="112" max="255" man="1"/>
  </rowBreaks>
  <drawing r:id="rId3"/>
</worksheet>
</file>

<file path=xl/worksheets/sheet3.xml><?xml version="1.0" encoding="utf-8"?>
<worksheet xmlns="http://schemas.openxmlformats.org/spreadsheetml/2006/main" xmlns:r="http://schemas.openxmlformats.org/officeDocument/2006/relationships">
  <sheetPr>
    <tabColor indexed="44"/>
  </sheetPr>
  <dimension ref="A1:I57"/>
  <sheetViews>
    <sheetView showGridLines="0" showRowColHeaders="0" workbookViewId="0" topLeftCell="A1">
      <selection activeCell="A1" sqref="A1"/>
    </sheetView>
  </sheetViews>
  <sheetFormatPr defaultColWidth="9.140625" defaultRowHeight="12.75"/>
  <cols>
    <col min="1" max="1" width="2.421875" style="56" customWidth="1"/>
    <col min="2" max="2" width="3.28125" style="52" customWidth="1"/>
    <col min="3" max="3" width="1.421875" style="52" customWidth="1"/>
    <col min="4" max="4" width="8.28125" style="134" customWidth="1"/>
    <col min="5" max="5" width="69.7109375" style="56" customWidth="1"/>
    <col min="6" max="6" width="9.140625" style="56" customWidth="1"/>
    <col min="7" max="7" width="1.421875" style="52" customWidth="1"/>
    <col min="8" max="8" width="2.57421875" style="52" customWidth="1"/>
    <col min="9" max="16384" width="9.140625" style="56" customWidth="1"/>
  </cols>
  <sheetData>
    <row r="1" spans="2:8" ht="29.25" customHeight="1">
      <c r="B1" s="208" t="str">
        <f>"CIPFA Corporate Services Benchmarking "&amp;MemYear</f>
        <v>CIPFA Corporate Services Benchmarking 2013</v>
      </c>
      <c r="C1" s="219"/>
      <c r="D1" s="220"/>
      <c r="E1" s="208"/>
      <c r="F1" s="221"/>
      <c r="G1" s="219"/>
      <c r="H1" s="221"/>
    </row>
    <row r="2" spans="2:8" ht="16.5" customHeight="1">
      <c r="B2" s="208" t="s">
        <v>199</v>
      </c>
      <c r="C2" s="219"/>
      <c r="D2" s="220"/>
      <c r="E2" s="208"/>
      <c r="F2" s="221"/>
      <c r="G2" s="219"/>
      <c r="H2" s="221"/>
    </row>
    <row r="3" spans="2:8" ht="18.75" customHeight="1">
      <c r="B3" s="206"/>
      <c r="C3" s="207"/>
      <c r="D3" s="208"/>
      <c r="E3" s="208"/>
      <c r="F3" s="209"/>
      <c r="G3" s="207"/>
      <c r="H3" s="206"/>
    </row>
    <row r="4" spans="2:8" s="135" customFormat="1" ht="13.5" customHeight="1">
      <c r="B4" s="215" t="s">
        <v>2458</v>
      </c>
      <c r="C4" s="512" t="s">
        <v>1234</v>
      </c>
      <c r="D4" s="512"/>
      <c r="E4" s="512"/>
      <c r="F4" s="512"/>
      <c r="G4" s="512"/>
      <c r="H4" s="512"/>
    </row>
    <row r="5" spans="2:9" s="135" customFormat="1" ht="43.5" customHeight="1">
      <c r="B5" s="206"/>
      <c r="C5" s="206"/>
      <c r="D5" s="513" t="s">
        <v>1486</v>
      </c>
      <c r="E5" s="513"/>
      <c r="F5" s="513"/>
      <c r="G5" s="513"/>
      <c r="H5" s="513"/>
      <c r="I5" s="53"/>
    </row>
    <row r="6" spans="2:8" s="135" customFormat="1" ht="5.25" customHeight="1">
      <c r="B6" s="206"/>
      <c r="C6" s="206"/>
      <c r="D6" s="210"/>
      <c r="E6" s="211"/>
      <c r="F6" s="211"/>
      <c r="G6" s="206"/>
      <c r="H6" s="206"/>
    </row>
    <row r="7" spans="2:9" s="135" customFormat="1" ht="26.25" customHeight="1">
      <c r="B7" s="206"/>
      <c r="C7" s="206"/>
      <c r="D7" s="513" t="s">
        <v>1118</v>
      </c>
      <c r="E7" s="513"/>
      <c r="F7" s="513"/>
      <c r="G7" s="513"/>
      <c r="H7" s="513"/>
      <c r="I7" s="53"/>
    </row>
    <row r="8" spans="2:8" s="135" customFormat="1" ht="12.75" customHeight="1">
      <c r="B8" s="206"/>
      <c r="C8" s="206"/>
      <c r="D8" s="210"/>
      <c r="E8" s="211"/>
      <c r="F8" s="211"/>
      <c r="G8" s="206"/>
      <c r="H8" s="206"/>
    </row>
    <row r="9" spans="2:8" s="135" customFormat="1" ht="13.5" customHeight="1">
      <c r="B9" s="215" t="s">
        <v>1542</v>
      </c>
      <c r="C9" s="512" t="s">
        <v>1550</v>
      </c>
      <c r="D9" s="512"/>
      <c r="E9" s="512"/>
      <c r="F9" s="512"/>
      <c r="G9" s="512"/>
      <c r="H9" s="512"/>
    </row>
    <row r="10" spans="2:8" s="135" customFormat="1" ht="26.25" customHeight="1">
      <c r="B10" s="206"/>
      <c r="C10" s="206"/>
      <c r="D10" s="513" t="s">
        <v>311</v>
      </c>
      <c r="E10" s="513"/>
      <c r="F10" s="513"/>
      <c r="G10" s="513"/>
      <c r="H10" s="513"/>
    </row>
    <row r="11" spans="2:8" s="135" customFormat="1" ht="6" customHeight="1">
      <c r="B11" s="206"/>
      <c r="C11" s="206"/>
      <c r="D11" s="210"/>
      <c r="E11" s="211"/>
      <c r="F11" s="211"/>
      <c r="G11" s="206"/>
      <c r="H11" s="206"/>
    </row>
    <row r="12" spans="2:8" s="135" customFormat="1" ht="26.25" customHeight="1">
      <c r="B12" s="206"/>
      <c r="C12" s="206"/>
      <c r="D12" s="513" t="s">
        <v>1533</v>
      </c>
      <c r="E12" s="513"/>
      <c r="F12" s="513"/>
      <c r="G12" s="513"/>
      <c r="H12" s="513"/>
    </row>
    <row r="13" spans="2:8" s="135" customFormat="1" ht="12.75" customHeight="1">
      <c r="B13" s="206"/>
      <c r="C13" s="206"/>
      <c r="D13" s="210"/>
      <c r="E13" s="211"/>
      <c r="F13" s="211"/>
      <c r="G13" s="206"/>
      <c r="H13" s="206"/>
    </row>
    <row r="14" spans="2:8" s="135" customFormat="1" ht="13.5" customHeight="1">
      <c r="B14" s="215" t="s">
        <v>1543</v>
      </c>
      <c r="C14" s="512" t="s">
        <v>1534</v>
      </c>
      <c r="D14" s="512"/>
      <c r="E14" s="512"/>
      <c r="F14" s="512"/>
      <c r="G14" s="512"/>
      <c r="H14" s="512"/>
    </row>
    <row r="15" spans="2:9" s="135" customFormat="1" ht="40.5" customHeight="1">
      <c r="B15" s="206"/>
      <c r="C15" s="206"/>
      <c r="D15" s="513" t="s">
        <v>2402</v>
      </c>
      <c r="E15" s="513"/>
      <c r="F15" s="513"/>
      <c r="G15" s="513"/>
      <c r="H15" s="513"/>
      <c r="I15" s="53"/>
    </row>
    <row r="16" spans="2:8" s="135" customFormat="1" ht="12.75" customHeight="1">
      <c r="B16" s="206"/>
      <c r="C16" s="206"/>
      <c r="D16" s="210"/>
      <c r="E16" s="211"/>
      <c r="F16" s="211"/>
      <c r="G16" s="206"/>
      <c r="H16" s="206"/>
    </row>
    <row r="17" spans="2:8" s="135" customFormat="1" ht="13.5" customHeight="1">
      <c r="B17" s="215" t="s">
        <v>1152</v>
      </c>
      <c r="C17" s="512" t="s">
        <v>1535</v>
      </c>
      <c r="D17" s="512"/>
      <c r="E17" s="512"/>
      <c r="F17" s="512"/>
      <c r="G17" s="512"/>
      <c r="H17" s="512"/>
    </row>
    <row r="18" spans="2:9" s="135" customFormat="1" ht="26.25" customHeight="1">
      <c r="B18" s="206"/>
      <c r="C18" s="206"/>
      <c r="D18" s="513" t="s">
        <v>2133</v>
      </c>
      <c r="E18" s="513"/>
      <c r="F18" s="513"/>
      <c r="G18" s="513"/>
      <c r="H18" s="513"/>
      <c r="I18" s="53"/>
    </row>
    <row r="19" spans="2:8" s="135" customFormat="1" ht="12.75" customHeight="1">
      <c r="B19" s="206"/>
      <c r="C19" s="206"/>
      <c r="D19" s="210"/>
      <c r="E19" s="211"/>
      <c r="F19" s="211"/>
      <c r="G19" s="206"/>
      <c r="H19" s="206"/>
    </row>
    <row r="20" spans="2:8" s="135" customFormat="1" ht="13.5" customHeight="1">
      <c r="B20" s="215" t="s">
        <v>115</v>
      </c>
      <c r="C20" s="512" t="s">
        <v>1235</v>
      </c>
      <c r="D20" s="512"/>
      <c r="E20" s="512"/>
      <c r="F20" s="512"/>
      <c r="G20" s="512"/>
      <c r="H20" s="512"/>
    </row>
    <row r="21" spans="2:8" s="135" customFormat="1" ht="13.5" customHeight="1">
      <c r="B21" s="206"/>
      <c r="C21" s="206"/>
      <c r="D21" s="3" t="s">
        <v>1947</v>
      </c>
      <c r="E21" s="211"/>
      <c r="F21" s="211"/>
      <c r="G21" s="206"/>
      <c r="H21" s="206"/>
    </row>
    <row r="22" spans="2:8" s="135" customFormat="1" ht="12.75" customHeight="1">
      <c r="B22" s="206"/>
      <c r="C22" s="206"/>
      <c r="D22" s="210"/>
      <c r="E22" s="211"/>
      <c r="F22" s="211"/>
      <c r="G22" s="206"/>
      <c r="H22" s="206"/>
    </row>
    <row r="23" spans="2:8" s="135" customFormat="1" ht="13.5" customHeight="1">
      <c r="B23" s="216" t="s">
        <v>116</v>
      </c>
      <c r="C23" s="512" t="s">
        <v>2457</v>
      </c>
      <c r="D23" s="512"/>
      <c r="E23" s="512"/>
      <c r="F23" s="512"/>
      <c r="G23" s="512"/>
      <c r="H23" s="512"/>
    </row>
    <row r="24" spans="2:8" s="135" customFormat="1" ht="13.5" customHeight="1">
      <c r="B24" s="206"/>
      <c r="C24" s="206" t="s">
        <v>36</v>
      </c>
      <c r="D24" s="3" t="s">
        <v>1866</v>
      </c>
      <c r="E24" s="211"/>
      <c r="F24" s="211"/>
      <c r="G24" s="206"/>
      <c r="H24" s="206"/>
    </row>
    <row r="25" spans="2:8" s="135" customFormat="1" ht="13.5" customHeight="1">
      <c r="B25" s="206"/>
      <c r="C25" s="206" t="s">
        <v>36</v>
      </c>
      <c r="D25" s="3" t="s">
        <v>1895</v>
      </c>
      <c r="E25" s="211"/>
      <c r="F25" s="211"/>
      <c r="G25" s="206"/>
      <c r="H25" s="206"/>
    </row>
    <row r="26" spans="2:8" s="135" customFormat="1" ht="13.5" customHeight="1">
      <c r="B26" s="206"/>
      <c r="C26" s="206" t="s">
        <v>36</v>
      </c>
      <c r="D26" s="3" t="s">
        <v>213</v>
      </c>
      <c r="E26" s="211"/>
      <c r="F26" s="211"/>
      <c r="G26" s="206"/>
      <c r="H26" s="206"/>
    </row>
    <row r="27" spans="2:8" s="135" customFormat="1" ht="13.5" customHeight="1">
      <c r="B27" s="206"/>
      <c r="C27" s="206" t="s">
        <v>36</v>
      </c>
      <c r="D27" s="3" t="s">
        <v>1267</v>
      </c>
      <c r="E27" s="211"/>
      <c r="F27" s="211"/>
      <c r="G27" s="206"/>
      <c r="H27" s="206"/>
    </row>
    <row r="28" spans="2:8" s="135" customFormat="1" ht="13.5" customHeight="1">
      <c r="B28" s="206"/>
      <c r="C28" s="206" t="s">
        <v>36</v>
      </c>
      <c r="D28" s="3" t="s">
        <v>1536</v>
      </c>
      <c r="E28" s="211"/>
      <c r="F28" s="211"/>
      <c r="G28" s="206"/>
      <c r="H28" s="206"/>
    </row>
    <row r="29" spans="2:8" s="135" customFormat="1" ht="13.5" customHeight="1">
      <c r="B29" s="206"/>
      <c r="C29" s="206" t="s">
        <v>36</v>
      </c>
      <c r="D29" s="3" t="s">
        <v>137</v>
      </c>
      <c r="E29" s="211"/>
      <c r="F29" s="211"/>
      <c r="G29" s="206"/>
      <c r="H29" s="206"/>
    </row>
    <row r="30" spans="2:8" s="135" customFormat="1" ht="13.5" customHeight="1">
      <c r="B30" s="206"/>
      <c r="C30" s="206" t="s">
        <v>36</v>
      </c>
      <c r="D30" s="3" t="s">
        <v>1233</v>
      </c>
      <c r="E30" s="211"/>
      <c r="F30" s="211"/>
      <c r="G30" s="206"/>
      <c r="H30" s="206"/>
    </row>
    <row r="31" spans="2:8" s="135" customFormat="1" ht="13.5" customHeight="1">
      <c r="B31" s="206"/>
      <c r="C31" s="206" t="s">
        <v>36</v>
      </c>
      <c r="D31" s="3" t="s">
        <v>2443</v>
      </c>
      <c r="E31" s="211"/>
      <c r="F31" s="211"/>
      <c r="G31" s="206"/>
      <c r="H31" s="206"/>
    </row>
    <row r="32" spans="2:8" s="135" customFormat="1" ht="13.5" customHeight="1">
      <c r="B32" s="206"/>
      <c r="C32" s="206" t="s">
        <v>36</v>
      </c>
      <c r="D32" s="3" t="s">
        <v>1254</v>
      </c>
      <c r="E32" s="211"/>
      <c r="F32" s="211"/>
      <c r="G32" s="206"/>
      <c r="H32" s="206"/>
    </row>
    <row r="33" spans="2:8" s="135" customFormat="1" ht="12.75" customHeight="1">
      <c r="B33" s="206"/>
      <c r="C33" s="206"/>
      <c r="D33" s="210"/>
      <c r="E33" s="211"/>
      <c r="F33" s="211"/>
      <c r="G33" s="206"/>
      <c r="H33" s="206"/>
    </row>
    <row r="34" spans="2:8" s="135" customFormat="1" ht="13.5" customHeight="1">
      <c r="B34" s="217" t="s">
        <v>117</v>
      </c>
      <c r="C34" s="514" t="s">
        <v>2314</v>
      </c>
      <c r="D34" s="514"/>
      <c r="E34" s="514"/>
      <c r="F34" s="514"/>
      <c r="G34" s="514"/>
      <c r="H34" s="514"/>
    </row>
    <row r="35" spans="2:8" s="135" customFormat="1" ht="26.25" customHeight="1">
      <c r="B35" s="206"/>
      <c r="C35" s="206"/>
      <c r="D35" s="513" t="s">
        <v>1120</v>
      </c>
      <c r="E35" s="513"/>
      <c r="F35" s="513"/>
      <c r="G35" s="513"/>
      <c r="H35" s="513"/>
    </row>
    <row r="36" spans="2:8" s="135" customFormat="1" ht="6" customHeight="1">
      <c r="B36" s="206"/>
      <c r="C36" s="206"/>
      <c r="D36" s="54"/>
      <c r="E36" s="54"/>
      <c r="F36" s="54"/>
      <c r="G36" s="54"/>
      <c r="H36" s="54"/>
    </row>
    <row r="37" spans="2:8" s="135" customFormat="1" ht="54" customHeight="1">
      <c r="B37" s="206"/>
      <c r="C37" s="206"/>
      <c r="D37" s="515" t="s">
        <v>1121</v>
      </c>
      <c r="E37" s="515"/>
      <c r="F37" s="515"/>
      <c r="G37" s="515"/>
      <c r="H37" s="515"/>
    </row>
    <row r="38" spans="2:8" s="135" customFormat="1" ht="6" customHeight="1">
      <c r="B38" s="206"/>
      <c r="C38" s="206"/>
      <c r="D38" s="210"/>
      <c r="E38" s="211"/>
      <c r="F38" s="211"/>
      <c r="G38" s="206"/>
      <c r="H38" s="206"/>
    </row>
    <row r="39" spans="2:8" s="135" customFormat="1" ht="13.5" customHeight="1">
      <c r="B39" s="206"/>
      <c r="C39" s="206"/>
      <c r="D39" s="3" t="s">
        <v>1461</v>
      </c>
      <c r="E39" s="211"/>
      <c r="F39" s="211"/>
      <c r="G39" s="206"/>
      <c r="H39" s="206"/>
    </row>
    <row r="40" spans="2:8" s="135" customFormat="1" ht="6" customHeight="1">
      <c r="B40" s="206"/>
      <c r="C40" s="206"/>
      <c r="D40" s="210"/>
      <c r="E40" s="211"/>
      <c r="F40" s="211"/>
      <c r="G40" s="206"/>
      <c r="H40" s="206"/>
    </row>
    <row r="41" spans="2:8" s="135" customFormat="1" ht="13.5" customHeight="1">
      <c r="B41" s="206"/>
      <c r="C41" s="206"/>
      <c r="D41" s="6" t="s">
        <v>1119</v>
      </c>
      <c r="E41" s="211"/>
      <c r="F41" s="211"/>
      <c r="G41" s="206"/>
      <c r="H41" s="206"/>
    </row>
    <row r="42" spans="2:8" s="135" customFormat="1" ht="12.75" customHeight="1">
      <c r="B42" s="206"/>
      <c r="C42" s="206"/>
      <c r="D42" s="212"/>
      <c r="E42" s="211"/>
      <c r="F42" s="211"/>
      <c r="G42" s="206"/>
      <c r="H42" s="206"/>
    </row>
    <row r="43" spans="2:8" s="135" customFormat="1" ht="13.5" customHeight="1">
      <c r="B43" s="216" t="s">
        <v>2112</v>
      </c>
      <c r="C43" s="514" t="s">
        <v>2478</v>
      </c>
      <c r="D43" s="514"/>
      <c r="E43" s="514"/>
      <c r="F43" s="514"/>
      <c r="G43" s="514"/>
      <c r="H43" s="514"/>
    </row>
    <row r="44" spans="2:8" s="135" customFormat="1" ht="29.25" customHeight="1">
      <c r="B44" s="206"/>
      <c r="C44" s="206"/>
      <c r="D44" s="513" t="s">
        <v>2456</v>
      </c>
      <c r="E44" s="513"/>
      <c r="F44" s="513"/>
      <c r="G44" s="513"/>
      <c r="H44" s="513"/>
    </row>
    <row r="45" spans="2:8" s="135" customFormat="1" ht="6" customHeight="1">
      <c r="B45" s="206"/>
      <c r="C45" s="206"/>
      <c r="D45" s="210"/>
      <c r="E45" s="211"/>
      <c r="F45" s="211"/>
      <c r="G45" s="206"/>
      <c r="H45" s="206"/>
    </row>
    <row r="46" spans="2:8" s="135" customFormat="1" ht="29.25" customHeight="1">
      <c r="B46" s="206"/>
      <c r="C46" s="206"/>
      <c r="D46" s="513" t="s">
        <v>1626</v>
      </c>
      <c r="E46" s="513"/>
      <c r="F46" s="513"/>
      <c r="G46" s="513"/>
      <c r="H46" s="513"/>
    </row>
    <row r="47" spans="2:8" s="135" customFormat="1" ht="6" customHeight="1">
      <c r="B47" s="206"/>
      <c r="C47" s="206"/>
      <c r="D47" s="210"/>
      <c r="E47" s="211"/>
      <c r="F47" s="211"/>
      <c r="G47" s="206"/>
      <c r="H47" s="206"/>
    </row>
    <row r="48" spans="2:8" s="135" customFormat="1" ht="40.5" customHeight="1">
      <c r="B48" s="206"/>
      <c r="C48" s="206"/>
      <c r="D48" s="513" t="s">
        <v>1122</v>
      </c>
      <c r="E48" s="513"/>
      <c r="F48" s="513"/>
      <c r="G48" s="513"/>
      <c r="H48" s="513"/>
    </row>
    <row r="49" spans="2:8" s="135" customFormat="1" ht="12.75" customHeight="1">
      <c r="B49" s="206"/>
      <c r="C49" s="206"/>
      <c r="D49" s="210"/>
      <c r="E49" s="211"/>
      <c r="F49" s="211"/>
      <c r="G49" s="206"/>
      <c r="H49" s="206"/>
    </row>
    <row r="50" spans="2:8" s="135" customFormat="1" ht="13.5" customHeight="1">
      <c r="B50" s="217" t="s">
        <v>2113</v>
      </c>
      <c r="C50" s="514" t="s">
        <v>1991</v>
      </c>
      <c r="D50" s="514"/>
      <c r="E50" s="514"/>
      <c r="F50" s="514"/>
      <c r="G50" s="514"/>
      <c r="H50" s="514"/>
    </row>
    <row r="51" spans="2:8" s="135" customFormat="1" ht="48" customHeight="1">
      <c r="B51" s="206"/>
      <c r="C51" s="206"/>
      <c r="D51" s="513" t="s">
        <v>2288</v>
      </c>
      <c r="E51" s="513"/>
      <c r="F51" s="513"/>
      <c r="G51" s="513"/>
      <c r="H51" s="513"/>
    </row>
    <row r="52" spans="2:8" s="135" customFormat="1" ht="6" customHeight="1">
      <c r="B52" s="206"/>
      <c r="C52" s="206"/>
      <c r="D52" s="210"/>
      <c r="E52" s="211"/>
      <c r="F52" s="211"/>
      <c r="G52" s="206"/>
      <c r="H52" s="206"/>
    </row>
    <row r="53" spans="2:8" s="135" customFormat="1" ht="51" customHeight="1">
      <c r="B53" s="206"/>
      <c r="C53" s="206"/>
      <c r="D53" s="513" t="s">
        <v>1353</v>
      </c>
      <c r="E53" s="513"/>
      <c r="F53" s="513"/>
      <c r="G53" s="513"/>
      <c r="H53" s="513"/>
    </row>
    <row r="54" spans="2:8" s="135" customFormat="1" ht="9.75" customHeight="1">
      <c r="B54" s="206"/>
      <c r="C54" s="206"/>
      <c r="D54" s="210"/>
      <c r="E54" s="211"/>
      <c r="F54" s="211"/>
      <c r="G54" s="206"/>
      <c r="H54" s="206"/>
    </row>
    <row r="55" spans="2:8" s="135" customFormat="1" ht="9.75" customHeight="1">
      <c r="B55" s="206"/>
      <c r="C55" s="206"/>
      <c r="D55" s="54"/>
      <c r="E55" s="54"/>
      <c r="F55" s="54"/>
      <c r="G55" s="54"/>
      <c r="H55" s="54"/>
    </row>
    <row r="56" spans="2:8" ht="46.5" customHeight="1">
      <c r="B56" s="206"/>
      <c r="C56" s="206"/>
      <c r="D56" s="210"/>
      <c r="E56" s="223"/>
      <c r="F56" s="213"/>
      <c r="G56" s="206"/>
      <c r="H56" s="206"/>
    </row>
    <row r="57" spans="1:8" ht="17.25" customHeight="1">
      <c r="A57" s="222" t="s">
        <v>1532</v>
      </c>
      <c r="B57" s="214"/>
      <c r="C57" s="214"/>
      <c r="D57" s="214"/>
      <c r="E57" s="218"/>
      <c r="F57" s="214"/>
      <c r="G57" s="214"/>
      <c r="H57" s="214"/>
    </row>
  </sheetData>
  <sheetProtection password="CF39" sheet="1"/>
  <mergeCells count="22">
    <mergeCell ref="D44:H44"/>
    <mergeCell ref="D53:H53"/>
    <mergeCell ref="D51:H51"/>
    <mergeCell ref="C50:H50"/>
    <mergeCell ref="D46:H46"/>
    <mergeCell ref="D48:H48"/>
    <mergeCell ref="C43:H43"/>
    <mergeCell ref="D10:H10"/>
    <mergeCell ref="C17:H17"/>
    <mergeCell ref="C23:H23"/>
    <mergeCell ref="D35:H35"/>
    <mergeCell ref="C34:H34"/>
    <mergeCell ref="D37:H37"/>
    <mergeCell ref="C4:H4"/>
    <mergeCell ref="C20:H20"/>
    <mergeCell ref="D5:H5"/>
    <mergeCell ref="D15:H15"/>
    <mergeCell ref="C14:H14"/>
    <mergeCell ref="D12:H12"/>
    <mergeCell ref="D18:H18"/>
    <mergeCell ref="D7:H7"/>
    <mergeCell ref="C9:H9"/>
  </mergeCells>
  <printOptions horizontalCentered="1"/>
  <pageMargins left="0.35433070866141736" right="0.35433070866141736" top="0.5905511811023623" bottom="0.35433070866141736" header="0.31496062992125984" footer="0.2755905511811024"/>
  <pageSetup horizontalDpi="600" verticalDpi="600" orientation="portrait" paperSize="9" r:id="rId2"/>
  <rowBreaks count="1" manualBreakCount="1">
    <brk id="42" max="7" man="1"/>
  </rowBreaks>
  <colBreaks count="1" manualBreakCount="1">
    <brk id="8" max="65535" man="1"/>
  </colBreaks>
  <drawing r:id="rId1"/>
</worksheet>
</file>

<file path=xl/worksheets/sheet4.xml><?xml version="1.0" encoding="utf-8"?>
<worksheet xmlns="http://schemas.openxmlformats.org/spreadsheetml/2006/main" xmlns:r="http://schemas.openxmlformats.org/officeDocument/2006/relationships">
  <sheetPr>
    <tabColor indexed="41"/>
  </sheetPr>
  <dimension ref="A3:V68"/>
  <sheetViews>
    <sheetView showGridLines="0" zoomScalePageLayoutView="0" workbookViewId="0" topLeftCell="A22">
      <selection activeCell="C55" sqref="C55"/>
    </sheetView>
  </sheetViews>
  <sheetFormatPr defaultColWidth="9.140625" defaultRowHeight="12.75"/>
  <cols>
    <col min="1" max="1" width="9.28125" style="6" bestFit="1" customWidth="1"/>
    <col min="2" max="2" width="14.421875" style="6" customWidth="1"/>
    <col min="3" max="3" width="6.8515625" style="6" customWidth="1"/>
    <col min="4" max="4" width="9.8515625" style="6" bestFit="1" customWidth="1"/>
    <col min="5" max="5" width="17.00390625" style="6" bestFit="1" customWidth="1"/>
    <col min="6" max="6" width="28.421875" style="6" bestFit="1" customWidth="1"/>
    <col min="7" max="7" width="14.28125" style="6" bestFit="1" customWidth="1"/>
    <col min="8" max="8" width="19.00390625" style="6" customWidth="1"/>
    <col min="9" max="9" width="26.140625" style="6" customWidth="1"/>
    <col min="10" max="10" width="8.7109375" style="6" customWidth="1"/>
    <col min="11" max="11" width="8.8515625" style="6" customWidth="1"/>
    <col min="12" max="12" width="6.8515625" style="6" customWidth="1"/>
    <col min="13" max="13" width="21.57421875" style="6" bestFit="1" customWidth="1"/>
    <col min="14" max="24" width="9.28125" style="6" bestFit="1" customWidth="1"/>
    <col min="25" max="16384" width="9.140625" style="6" customWidth="1"/>
  </cols>
  <sheetData>
    <row r="3" spans="6:7" ht="12.75">
      <c r="F3" s="373" t="s">
        <v>190</v>
      </c>
      <c r="G3" s="6">
        <v>2013</v>
      </c>
    </row>
    <row r="4" spans="1:7" ht="12.75">
      <c r="A4" s="374" t="s">
        <v>2470</v>
      </c>
      <c r="B4" s="6" t="s">
        <v>1154</v>
      </c>
      <c r="F4" s="373" t="s">
        <v>2488</v>
      </c>
      <c r="G4" s="6">
        <v>2</v>
      </c>
    </row>
    <row r="5" spans="1:8" ht="12.75">
      <c r="A5" s="374" t="s">
        <v>1153</v>
      </c>
      <c r="B5" s="6" t="s">
        <v>194</v>
      </c>
      <c r="F5" s="373" t="s">
        <v>1469</v>
      </c>
      <c r="G5" s="375">
        <v>41547</v>
      </c>
      <c r="H5" s="375"/>
    </row>
    <row r="6" spans="1:7" ht="12.75">
      <c r="A6" s="376" t="s">
        <v>2195</v>
      </c>
      <c r="B6" s="377" t="s">
        <v>2271</v>
      </c>
      <c r="C6" s="378">
        <v>0</v>
      </c>
      <c r="F6" s="373" t="s">
        <v>1438</v>
      </c>
      <c r="G6" s="379">
        <f ca="1">TODAY()</f>
        <v>41460</v>
      </c>
    </row>
    <row r="7" spans="1:14" ht="12.75">
      <c r="A7" s="376" t="s">
        <v>388</v>
      </c>
      <c r="B7" s="380" t="str">
        <f>IF(ISERROR(C7),IF(ISERROR(D7),"Code",D7),C7)</f>
        <v>Code</v>
      </c>
      <c r="C7" s="6" t="str">
        <f>INDEX(NamesQry!A:B,MATCH(MemLong,Names,0),2)</f>
        <v>Code</v>
      </c>
      <c r="D7" s="6" t="e">
        <f>INDEX(NamesQry!A:C,MATCH(RIGHT(OEMA,(LEN(OEMA)-SEARCH("@",OEMA))),Mails,0),2)</f>
        <v>#VALUE!</v>
      </c>
      <c r="F7" s="373"/>
      <c r="J7" s="381" t="s">
        <v>1939</v>
      </c>
      <c r="N7" s="382" t="s">
        <v>1736</v>
      </c>
    </row>
    <row r="8" spans="1:14" ht="12.75">
      <c r="A8" s="376" t="s">
        <v>2385</v>
      </c>
      <c r="B8" s="380" t="str">
        <f>Membership!G13</f>
        <v>Please enter your organisation name</v>
      </c>
      <c r="F8" s="373"/>
      <c r="J8" s="383">
        <f>SUM(J12:J28)</f>
        <v>0</v>
      </c>
      <c r="N8" s="384">
        <f>SUM(ChkRenew)</f>
        <v>0</v>
      </c>
    </row>
    <row r="9" spans="1:6" ht="12.75">
      <c r="A9" s="376" t="s">
        <v>2386</v>
      </c>
      <c r="B9" s="380" t="str">
        <f>B8</f>
        <v>Please enter your organisation name</v>
      </c>
      <c r="F9" s="373"/>
    </row>
    <row r="10" ht="12.75">
      <c r="B10" s="374" t="s">
        <v>1942</v>
      </c>
    </row>
    <row r="11" spans="2:22" ht="29.25" customHeight="1">
      <c r="B11" s="385" t="s">
        <v>2470</v>
      </c>
      <c r="C11" s="386" t="s">
        <v>2172</v>
      </c>
      <c r="D11" s="386" t="s">
        <v>1256</v>
      </c>
      <c r="E11" s="386" t="s">
        <v>310</v>
      </c>
      <c r="F11" s="386" t="s">
        <v>1865</v>
      </c>
      <c r="G11" s="386" t="s">
        <v>2196</v>
      </c>
      <c r="H11" s="386" t="s">
        <v>2468</v>
      </c>
      <c r="I11" s="386" t="s">
        <v>2104</v>
      </c>
      <c r="J11" s="387" t="s">
        <v>2341</v>
      </c>
      <c r="K11" s="387" t="s">
        <v>2340</v>
      </c>
      <c r="L11" s="388" t="s">
        <v>1918</v>
      </c>
      <c r="M11" s="389" t="s">
        <v>191</v>
      </c>
      <c r="N11" s="387" t="s">
        <v>2186</v>
      </c>
      <c r="O11" s="390">
        <v>2012</v>
      </c>
      <c r="P11" s="390" t="s">
        <v>2140</v>
      </c>
      <c r="Q11" s="390">
        <v>2013</v>
      </c>
      <c r="R11" s="390" t="s">
        <v>1158</v>
      </c>
      <c r="S11" s="391" t="s">
        <v>226</v>
      </c>
      <c r="T11" s="387" t="s">
        <v>1613</v>
      </c>
      <c r="U11" s="391" t="s">
        <v>1185</v>
      </c>
      <c r="V11" s="392" t="s">
        <v>195</v>
      </c>
    </row>
    <row r="12" spans="1:22" ht="12.75">
      <c r="A12" s="393">
        <v>1</v>
      </c>
      <c r="B12" s="394" t="s">
        <v>1148</v>
      </c>
      <c r="C12" s="395"/>
      <c r="D12" s="396"/>
      <c r="E12" s="396"/>
      <c r="F12" s="396"/>
      <c r="G12" s="396"/>
      <c r="H12" s="396"/>
      <c r="I12" s="397"/>
      <c r="J12" s="396">
        <f>IF(FLAS="Code",0,VLOOKUP(FLAS,MatchFClub,3,FALSE))</f>
        <v>0</v>
      </c>
      <c r="K12" s="396">
        <v>0</v>
      </c>
      <c r="L12" s="398"/>
      <c r="M12" s="399" t="s">
        <v>2210</v>
      </c>
      <c r="N12" s="400"/>
      <c r="O12" s="401"/>
      <c r="P12" s="402"/>
      <c r="Q12" s="402"/>
      <c r="R12" s="403"/>
      <c r="S12" s="403"/>
      <c r="T12" s="404"/>
      <c r="U12" s="403"/>
      <c r="V12" s="405"/>
    </row>
    <row r="13" spans="1:22" ht="12.75">
      <c r="A13" s="393">
        <v>2</v>
      </c>
      <c r="B13" s="406" t="s">
        <v>2146</v>
      </c>
      <c r="C13" s="407"/>
      <c r="D13" s="408"/>
      <c r="E13" s="408"/>
      <c r="F13" s="408"/>
      <c r="G13" s="408"/>
      <c r="H13" s="408"/>
      <c r="I13" s="409"/>
      <c r="J13" s="408">
        <f>IF(FLAS="Code",0,VLOOKUP(FLAS,MatchFClub,4,FALSE))</f>
        <v>0</v>
      </c>
      <c r="K13" s="408">
        <v>0</v>
      </c>
      <c r="L13" s="400"/>
      <c r="M13" s="399" t="s">
        <v>2146</v>
      </c>
      <c r="N13" s="400"/>
      <c r="O13" s="410"/>
      <c r="P13" s="411"/>
      <c r="Q13" s="411"/>
      <c r="R13" s="412"/>
      <c r="S13" s="412"/>
      <c r="T13" s="413"/>
      <c r="U13" s="412"/>
      <c r="V13" s="414"/>
    </row>
    <row r="14" spans="1:22" ht="12.75">
      <c r="A14" s="393">
        <v>3</v>
      </c>
      <c r="B14" s="406" t="s">
        <v>2455</v>
      </c>
      <c r="C14" s="407"/>
      <c r="D14" s="408"/>
      <c r="E14" s="408"/>
      <c r="F14" s="408"/>
      <c r="G14" s="408"/>
      <c r="H14" s="408"/>
      <c r="I14" s="409"/>
      <c r="J14" s="408">
        <f>IF(FLAS="Code",0,VLOOKUP(FLAS,MatchFClub,5,FALSE))</f>
        <v>0</v>
      </c>
      <c r="K14" s="408">
        <v>0</v>
      </c>
      <c r="L14" s="400"/>
      <c r="M14" s="399" t="s">
        <v>2455</v>
      </c>
      <c r="N14" s="400"/>
      <c r="O14" s="410"/>
      <c r="P14" s="411"/>
      <c r="Q14" s="411"/>
      <c r="R14" s="412"/>
      <c r="S14" s="412"/>
      <c r="T14" s="413"/>
      <c r="U14" s="412"/>
      <c r="V14" s="414"/>
    </row>
    <row r="15" spans="1:22" ht="12.75">
      <c r="A15" s="393">
        <v>4</v>
      </c>
      <c r="B15" s="406" t="s">
        <v>2311</v>
      </c>
      <c r="C15" s="407"/>
      <c r="D15" s="408"/>
      <c r="E15" s="408"/>
      <c r="F15" s="408"/>
      <c r="G15" s="408"/>
      <c r="H15" s="408"/>
      <c r="I15" s="409"/>
      <c r="J15" s="408">
        <f>IF(FLAS="Code",0,VLOOKUP(FLAS,MatchFClub,6,FALSE))</f>
        <v>0</v>
      </c>
      <c r="K15" s="408">
        <v>0</v>
      </c>
      <c r="L15" s="400"/>
      <c r="M15" s="399" t="s">
        <v>2151</v>
      </c>
      <c r="N15" s="400"/>
      <c r="O15" s="410"/>
      <c r="P15" s="411"/>
      <c r="Q15" s="411"/>
      <c r="R15" s="412"/>
      <c r="S15" s="412"/>
      <c r="T15" s="413"/>
      <c r="U15" s="412"/>
      <c r="V15" s="414"/>
    </row>
    <row r="16" spans="1:22" ht="12.75">
      <c r="A16" s="393">
        <v>6</v>
      </c>
      <c r="B16" s="406" t="s">
        <v>2312</v>
      </c>
      <c r="C16" s="407"/>
      <c r="D16" s="408"/>
      <c r="E16" s="408"/>
      <c r="F16" s="408"/>
      <c r="G16" s="408"/>
      <c r="H16" s="408"/>
      <c r="I16" s="409"/>
      <c r="J16" s="408">
        <f>IF(FLAS="Code",0,VLOOKUP(FLAS,MatchFClub,8,FALSE))</f>
        <v>0</v>
      </c>
      <c r="K16" s="408">
        <v>0</v>
      </c>
      <c r="L16" s="400"/>
      <c r="M16" s="399" t="s">
        <v>35</v>
      </c>
      <c r="N16" s="400"/>
      <c r="O16" s="410"/>
      <c r="P16" s="411"/>
      <c r="Q16" s="411"/>
      <c r="R16" s="412"/>
      <c r="S16" s="412"/>
      <c r="T16" s="413"/>
      <c r="U16" s="412"/>
      <c r="V16" s="414"/>
    </row>
    <row r="17" spans="1:22" ht="12.75">
      <c r="A17" s="393">
        <v>7</v>
      </c>
      <c r="B17" s="406" t="s">
        <v>201</v>
      </c>
      <c r="C17" s="407"/>
      <c r="D17" s="408"/>
      <c r="E17" s="408"/>
      <c r="F17" s="408"/>
      <c r="G17" s="408"/>
      <c r="H17" s="408"/>
      <c r="I17" s="409"/>
      <c r="J17" s="408">
        <f>IF(FLAS="Code",0,VLOOKUP(FLAS,MatchFClub,9,FALSE))</f>
        <v>0</v>
      </c>
      <c r="K17" s="408">
        <v>0</v>
      </c>
      <c r="L17" s="400"/>
      <c r="M17" s="399" t="s">
        <v>1612</v>
      </c>
      <c r="N17" s="400"/>
      <c r="O17" s="410"/>
      <c r="P17" s="411"/>
      <c r="Q17" s="411"/>
      <c r="R17" s="412"/>
      <c r="S17" s="412"/>
      <c r="T17" s="413"/>
      <c r="U17" s="412"/>
      <c r="V17" s="414"/>
    </row>
    <row r="18" spans="1:22" ht="12.75">
      <c r="A18" s="393">
        <v>8</v>
      </c>
      <c r="B18" s="406" t="s">
        <v>1753</v>
      </c>
      <c r="C18" s="407"/>
      <c r="D18" s="408"/>
      <c r="E18" s="408"/>
      <c r="F18" s="408"/>
      <c r="G18" s="408"/>
      <c r="H18" s="408"/>
      <c r="I18" s="409"/>
      <c r="J18" s="408">
        <f>IF(FLAS="Code",0,VLOOKUP(FLAS,MatchFClub,10,FALSE))</f>
        <v>0</v>
      </c>
      <c r="K18" s="408">
        <v>0</v>
      </c>
      <c r="L18" s="400"/>
      <c r="M18" s="399" t="s">
        <v>1186</v>
      </c>
      <c r="N18" s="400"/>
      <c r="O18" s="410"/>
      <c r="P18" s="411"/>
      <c r="Q18" s="411"/>
      <c r="R18" s="412"/>
      <c r="S18" s="412"/>
      <c r="T18" s="413"/>
      <c r="U18" s="412"/>
      <c r="V18" s="414"/>
    </row>
    <row r="19" spans="1:22" ht="12.75">
      <c r="A19" s="393">
        <v>9</v>
      </c>
      <c r="B19" s="406" t="s">
        <v>1665</v>
      </c>
      <c r="C19" s="407"/>
      <c r="D19" s="408"/>
      <c r="E19" s="408"/>
      <c r="F19" s="408"/>
      <c r="G19" s="408"/>
      <c r="H19" s="408"/>
      <c r="I19" s="409"/>
      <c r="J19" s="408">
        <f>IF(FLAS="Code",0,VLOOKUP(FLAS,MatchFClub,11,FALSE))</f>
        <v>0</v>
      </c>
      <c r="K19" s="408">
        <v>0</v>
      </c>
      <c r="L19" s="400"/>
      <c r="M19" s="399" t="s">
        <v>2148</v>
      </c>
      <c r="N19" s="400"/>
      <c r="O19" s="410"/>
      <c r="P19" s="411"/>
      <c r="Q19" s="411"/>
      <c r="R19" s="412"/>
      <c r="S19" s="412"/>
      <c r="T19" s="413"/>
      <c r="U19" s="412"/>
      <c r="V19" s="414"/>
    </row>
    <row r="20" spans="1:22" ht="12.75">
      <c r="A20" s="393">
        <v>10</v>
      </c>
      <c r="B20" s="406" t="s">
        <v>2150</v>
      </c>
      <c r="C20" s="407"/>
      <c r="D20" s="408"/>
      <c r="E20" s="408"/>
      <c r="F20" s="408"/>
      <c r="G20" s="408"/>
      <c r="H20" s="408"/>
      <c r="I20" s="409"/>
      <c r="J20" s="408">
        <f>IF(FLAS="Code",0,VLOOKUP(FLAS,MatchFClub,12,FALSE))</f>
        <v>0</v>
      </c>
      <c r="K20" s="408">
        <v>0</v>
      </c>
      <c r="L20" s="400"/>
      <c r="M20" s="399" t="s">
        <v>2150</v>
      </c>
      <c r="N20" s="400"/>
      <c r="O20" s="410"/>
      <c r="P20" s="411"/>
      <c r="Q20" s="411"/>
      <c r="R20" s="412"/>
      <c r="S20" s="412"/>
      <c r="T20" s="413"/>
      <c r="U20" s="412"/>
      <c r="V20" s="414"/>
    </row>
    <row r="21" spans="1:22" ht="12.75">
      <c r="A21" s="393">
        <v>11</v>
      </c>
      <c r="B21" s="406" t="s">
        <v>1468</v>
      </c>
      <c r="C21" s="407"/>
      <c r="D21" s="408"/>
      <c r="E21" s="408"/>
      <c r="F21" s="408"/>
      <c r="G21" s="408"/>
      <c r="H21" s="408"/>
      <c r="I21" s="409"/>
      <c r="J21" s="408">
        <f>IF(FLAS="Code",0,VLOOKUP(FLAS,MatchFClub,13,FALSE))</f>
        <v>0</v>
      </c>
      <c r="K21" s="408">
        <v>0</v>
      </c>
      <c r="L21" s="400"/>
      <c r="M21" s="399" t="s">
        <v>2313</v>
      </c>
      <c r="N21" s="400"/>
      <c r="O21" s="410"/>
      <c r="P21" s="411"/>
      <c r="Q21" s="411"/>
      <c r="R21" s="412"/>
      <c r="S21" s="412"/>
      <c r="T21" s="413"/>
      <c r="U21" s="412"/>
      <c r="V21" s="414"/>
    </row>
    <row r="22" spans="1:22" ht="12.75">
      <c r="A22" s="393">
        <v>12</v>
      </c>
      <c r="B22" s="406" t="s">
        <v>202</v>
      </c>
      <c r="C22" s="407"/>
      <c r="D22" s="408"/>
      <c r="E22" s="408"/>
      <c r="F22" s="408"/>
      <c r="G22" s="408"/>
      <c r="H22" s="408"/>
      <c r="I22" s="409"/>
      <c r="J22" s="408">
        <f>IF(FLAS="Code",0,VLOOKUP(FLAS,MatchFClub,14,FALSE))</f>
        <v>0</v>
      </c>
      <c r="K22" s="408">
        <v>0</v>
      </c>
      <c r="L22" s="400"/>
      <c r="M22" s="399" t="s">
        <v>2098</v>
      </c>
      <c r="N22" s="400"/>
      <c r="O22" s="410"/>
      <c r="P22" s="411"/>
      <c r="Q22" s="411"/>
      <c r="R22" s="412"/>
      <c r="S22" s="412"/>
      <c r="T22" s="413"/>
      <c r="U22" s="412"/>
      <c r="V22" s="414"/>
    </row>
    <row r="23" spans="1:22" ht="12.75">
      <c r="A23" s="393">
        <v>13</v>
      </c>
      <c r="B23" s="406" t="s">
        <v>205</v>
      </c>
      <c r="C23" s="407"/>
      <c r="D23" s="408"/>
      <c r="E23" s="408"/>
      <c r="F23" s="408"/>
      <c r="G23" s="408"/>
      <c r="H23" s="408"/>
      <c r="I23" s="409"/>
      <c r="J23" s="408">
        <f>IF(FLAS="Code",0,VLOOKUP(FLAS,MatchFClub,15,FALSE))</f>
        <v>0</v>
      </c>
      <c r="K23" s="408">
        <v>0</v>
      </c>
      <c r="L23" s="400"/>
      <c r="M23" s="399" t="s">
        <v>2147</v>
      </c>
      <c r="N23" s="400"/>
      <c r="O23" s="410"/>
      <c r="P23" s="411"/>
      <c r="Q23" s="411"/>
      <c r="R23" s="412"/>
      <c r="S23" s="412"/>
      <c r="T23" s="413"/>
      <c r="U23" s="412"/>
      <c r="V23" s="414"/>
    </row>
    <row r="24" spans="1:22" ht="12.75">
      <c r="A24" s="393">
        <v>14</v>
      </c>
      <c r="B24" s="406" t="s">
        <v>389</v>
      </c>
      <c r="C24" s="407"/>
      <c r="D24" s="408"/>
      <c r="E24" s="408"/>
      <c r="F24" s="408"/>
      <c r="G24" s="408"/>
      <c r="H24" s="408"/>
      <c r="I24" s="409"/>
      <c r="J24" s="408">
        <f>IF(FLAS="Code",0,VLOOKUP(FLAS,MatchFClub,16,FALSE))</f>
        <v>0</v>
      </c>
      <c r="K24" s="408">
        <v>0</v>
      </c>
      <c r="L24" s="400"/>
      <c r="M24" s="399" t="s">
        <v>2168</v>
      </c>
      <c r="N24" s="400"/>
      <c r="O24" s="410"/>
      <c r="P24" s="411"/>
      <c r="Q24" s="411"/>
      <c r="R24" s="412"/>
      <c r="S24" s="412"/>
      <c r="T24" s="413"/>
      <c r="U24" s="412"/>
      <c r="V24" s="414"/>
    </row>
    <row r="25" spans="1:22" ht="12.75">
      <c r="A25" s="393">
        <v>15</v>
      </c>
      <c r="B25" s="406" t="s">
        <v>175</v>
      </c>
      <c r="C25" s="407"/>
      <c r="D25" s="408"/>
      <c r="E25" s="408"/>
      <c r="F25" s="408"/>
      <c r="G25" s="408"/>
      <c r="H25" s="408"/>
      <c r="I25" s="409"/>
      <c r="J25" s="408">
        <f>IF(FLAS="Code",0,VLOOKUP(FLAS,MatchFClub,17,FALSE))</f>
        <v>0</v>
      </c>
      <c r="K25" s="408">
        <v>0</v>
      </c>
      <c r="L25" s="400"/>
      <c r="M25" s="399" t="s">
        <v>1187</v>
      </c>
      <c r="N25" s="400"/>
      <c r="O25" s="410"/>
      <c r="P25" s="411"/>
      <c r="Q25" s="411"/>
      <c r="R25" s="412"/>
      <c r="S25" s="412"/>
      <c r="T25" s="413"/>
      <c r="U25" s="412"/>
      <c r="V25" s="414"/>
    </row>
    <row r="26" spans="1:22" ht="12.75">
      <c r="A26" s="393">
        <v>5</v>
      </c>
      <c r="B26" s="406" t="s">
        <v>206</v>
      </c>
      <c r="C26" s="407"/>
      <c r="D26" s="408"/>
      <c r="E26" s="408"/>
      <c r="F26" s="408"/>
      <c r="G26" s="408"/>
      <c r="H26" s="408"/>
      <c r="I26" s="409"/>
      <c r="J26" s="408">
        <f>IF(FLAS="Code",0,VLOOKUP(FLAS,MatchFClub,7,FALSE))</f>
        <v>0</v>
      </c>
      <c r="K26" s="408">
        <v>0</v>
      </c>
      <c r="L26" s="400"/>
      <c r="M26" s="399" t="s">
        <v>1442</v>
      </c>
      <c r="N26" s="400"/>
      <c r="O26" s="410"/>
      <c r="P26" s="411"/>
      <c r="Q26" s="411"/>
      <c r="R26" s="412"/>
      <c r="S26" s="412"/>
      <c r="T26" s="413"/>
      <c r="U26" s="412"/>
      <c r="V26" s="414"/>
    </row>
    <row r="27" spans="1:22" ht="12.75">
      <c r="A27" s="393">
        <v>16</v>
      </c>
      <c r="B27" s="406" t="s">
        <v>207</v>
      </c>
      <c r="C27" s="407"/>
      <c r="D27" s="408"/>
      <c r="E27" s="408"/>
      <c r="F27" s="408"/>
      <c r="G27" s="408"/>
      <c r="H27" s="408"/>
      <c r="I27" s="409"/>
      <c r="J27" s="408">
        <f>IF(FLAS="Code",0,VLOOKUP(FLAS,MatchFClub,18,FALSE))</f>
        <v>0</v>
      </c>
      <c r="K27" s="408">
        <v>0</v>
      </c>
      <c r="L27" s="400"/>
      <c r="M27" s="399" t="s">
        <v>2149</v>
      </c>
      <c r="N27" s="400"/>
      <c r="O27" s="410"/>
      <c r="P27" s="411"/>
      <c r="Q27" s="411"/>
      <c r="R27" s="412"/>
      <c r="S27" s="412"/>
      <c r="T27" s="413"/>
      <c r="U27" s="412"/>
      <c r="V27" s="414"/>
    </row>
    <row r="28" spans="1:22" ht="12.75">
      <c r="A28" s="393">
        <v>17</v>
      </c>
      <c r="B28" s="406" t="s">
        <v>1210</v>
      </c>
      <c r="C28" s="407"/>
      <c r="D28" s="408"/>
      <c r="E28" s="408"/>
      <c r="F28" s="408"/>
      <c r="G28" s="408"/>
      <c r="H28" s="408"/>
      <c r="I28" s="409"/>
      <c r="J28" s="415"/>
      <c r="K28" s="416">
        <v>0</v>
      </c>
      <c r="L28" s="417"/>
      <c r="M28" s="418" t="s">
        <v>1488</v>
      </c>
      <c r="N28" s="417"/>
      <c r="O28" s="419"/>
      <c r="P28" s="420"/>
      <c r="Q28" s="420"/>
      <c r="R28" s="420"/>
      <c r="S28" s="421"/>
      <c r="T28" s="421"/>
      <c r="U28" s="422"/>
      <c r="V28" s="423"/>
    </row>
    <row r="29" spans="2:12" ht="12.75">
      <c r="B29" s="424" t="s">
        <v>214</v>
      </c>
      <c r="C29" s="425"/>
      <c r="D29" s="416"/>
      <c r="E29" s="416"/>
      <c r="F29" s="416"/>
      <c r="G29" s="416"/>
      <c r="H29" s="416"/>
      <c r="I29" s="426"/>
      <c r="J29" s="335"/>
      <c r="K29" s="335"/>
      <c r="L29" s="335"/>
    </row>
    <row r="31" ht="12.75">
      <c r="I31" s="335"/>
    </row>
    <row r="32" spans="2:8" ht="12.75">
      <c r="B32" s="394" t="s">
        <v>2471</v>
      </c>
      <c r="C32" s="427"/>
      <c r="D32" s="335"/>
      <c r="H32" s="428"/>
    </row>
    <row r="33" spans="2:4" ht="12.75">
      <c r="B33" s="406" t="s">
        <v>2472</v>
      </c>
      <c r="C33" s="427"/>
      <c r="D33" s="335"/>
    </row>
    <row r="34" spans="2:4" ht="12.75">
      <c r="B34" s="406" t="s">
        <v>2473</v>
      </c>
      <c r="C34" s="427"/>
      <c r="D34" s="335"/>
    </row>
    <row r="35" spans="2:9" ht="12.75">
      <c r="B35" s="424" t="s">
        <v>2474</v>
      </c>
      <c r="C35" s="429"/>
      <c r="D35" s="430"/>
      <c r="F35" s="39"/>
      <c r="G35" s="431"/>
      <c r="H35" s="39"/>
      <c r="I35" s="39"/>
    </row>
    <row r="36" spans="6:9" ht="12.75">
      <c r="F36" s="432"/>
      <c r="G36" s="433"/>
      <c r="H36" s="433"/>
      <c r="I36" s="433"/>
    </row>
    <row r="37" ht="12.75">
      <c r="G37" s="434" t="s">
        <v>2134</v>
      </c>
    </row>
    <row r="38" spans="7:9" ht="12.75">
      <c r="G38" s="435" t="s">
        <v>215</v>
      </c>
      <c r="H38" s="436" t="s">
        <v>2132</v>
      </c>
      <c r="I38" s="437" t="s">
        <v>2131</v>
      </c>
    </row>
    <row r="39" spans="1:9" ht="12.75">
      <c r="A39" s="337"/>
      <c r="B39" s="427" t="s">
        <v>1864</v>
      </c>
      <c r="C39" s="444" t="e">
        <f ca="1">INDEX(PriceRange,2,MATCH(Tier2,OFFSET(PriceRange,0,0,1),0))</f>
        <v>#N/A</v>
      </c>
      <c r="F39" s="3" t="s">
        <v>2210</v>
      </c>
      <c r="G39" s="410">
        <v>730</v>
      </c>
      <c r="H39" s="411">
        <v>410</v>
      </c>
      <c r="I39" s="412">
        <v>730</v>
      </c>
    </row>
    <row r="40" spans="2:9" ht="12.75">
      <c r="B40" s="427" t="s">
        <v>1948</v>
      </c>
      <c r="C40" s="444" t="e">
        <f ca="1">INDEX(PriceRange,3,MATCH(Tier2,OFFSET(PriceRange,0,0,1),0))</f>
        <v>#N/A</v>
      </c>
      <c r="F40" s="3" t="s">
        <v>2146</v>
      </c>
      <c r="G40" s="410">
        <v>730</v>
      </c>
      <c r="H40" s="411">
        <v>410</v>
      </c>
      <c r="I40" s="412">
        <v>730</v>
      </c>
    </row>
    <row r="41" spans="2:9" ht="12.75">
      <c r="B41" s="427" t="s">
        <v>113</v>
      </c>
      <c r="C41" s="444" t="e">
        <f ca="1">INDEX(PriceRange,4,MATCH(Tier2,OFFSET(PriceRange,0,0,1),0))</f>
        <v>#N/A</v>
      </c>
      <c r="F41" s="3" t="s">
        <v>2455</v>
      </c>
      <c r="G41" s="410">
        <v>730</v>
      </c>
      <c r="H41" s="411">
        <v>410</v>
      </c>
      <c r="I41" s="412">
        <v>730</v>
      </c>
    </row>
    <row r="42" spans="2:9" ht="12.75">
      <c r="B42" s="427" t="s">
        <v>114</v>
      </c>
      <c r="C42" s="444" t="e">
        <f ca="1">INDEX(PriceRange,5,MATCH(Tier2,OFFSET(PriceRange,0,0,1),0))</f>
        <v>#N/A</v>
      </c>
      <c r="F42" s="3" t="s">
        <v>2151</v>
      </c>
      <c r="G42" s="410">
        <v>730</v>
      </c>
      <c r="H42" s="432">
        <v>410</v>
      </c>
      <c r="I42" s="412"/>
    </row>
    <row r="43" spans="2:9" ht="12.75">
      <c r="B43" s="427" t="s">
        <v>2265</v>
      </c>
      <c r="C43" s="444" t="e">
        <f ca="1">INDEX(PriceRange,6,MATCH(Tier2,OFFSET(PriceRange,0,0,1),0))</f>
        <v>#N/A</v>
      </c>
      <c r="F43" s="3" t="s">
        <v>1442</v>
      </c>
      <c r="G43" s="410">
        <v>730</v>
      </c>
      <c r="H43" s="432">
        <v>410</v>
      </c>
      <c r="I43" s="412"/>
    </row>
    <row r="44" spans="2:9" ht="12.75">
      <c r="B44" s="427" t="s">
        <v>2093</v>
      </c>
      <c r="C44" s="444" t="e">
        <f ca="1">INDEX(PriceRange,7,MATCH(Tier2,OFFSET(PriceRange,0,0,1),0))</f>
        <v>#N/A</v>
      </c>
      <c r="F44" s="3" t="s">
        <v>35</v>
      </c>
      <c r="G44" s="410">
        <v>730</v>
      </c>
      <c r="H44" s="432">
        <v>410</v>
      </c>
      <c r="I44" s="412">
        <v>730</v>
      </c>
    </row>
    <row r="45" spans="2:9" ht="12.75">
      <c r="B45" s="427" t="s">
        <v>2094</v>
      </c>
      <c r="C45" s="444" t="e">
        <f ca="1">INDEX(PriceRange,8,MATCH(Tier2,OFFSET(PriceRange,0,0,1),0))</f>
        <v>#N/A</v>
      </c>
      <c r="F45" s="3" t="s">
        <v>1612</v>
      </c>
      <c r="G45" s="410">
        <v>730</v>
      </c>
      <c r="H45" s="432">
        <v>410</v>
      </c>
      <c r="I45" s="412">
        <v>730</v>
      </c>
    </row>
    <row r="46" spans="2:9" ht="12.75">
      <c r="B46" s="427" t="s">
        <v>2095</v>
      </c>
      <c r="C46" s="444" t="e">
        <f ca="1">INDEX(PriceRange,9,MATCH(Tier2,OFFSET(PriceRange,0,0,1),0))</f>
        <v>#N/A</v>
      </c>
      <c r="F46" s="3" t="s">
        <v>1186</v>
      </c>
      <c r="G46" s="410">
        <v>730</v>
      </c>
      <c r="H46" s="432">
        <v>410</v>
      </c>
      <c r="I46" s="412">
        <v>730</v>
      </c>
    </row>
    <row r="47" spans="2:9" ht="12.75">
      <c r="B47" s="427" t="s">
        <v>2096</v>
      </c>
      <c r="C47" s="444" t="e">
        <f ca="1">INDEX(PriceRange,10,MATCH(Tier2,OFFSET(PriceRange,0,0,1),0))</f>
        <v>#N/A</v>
      </c>
      <c r="F47" s="3" t="s">
        <v>1665</v>
      </c>
      <c r="G47" s="410">
        <v>730</v>
      </c>
      <c r="H47" s="432">
        <v>410</v>
      </c>
      <c r="I47" s="412">
        <v>730</v>
      </c>
    </row>
    <row r="48" spans="2:9" ht="12.75">
      <c r="B48" s="427" t="s">
        <v>2097</v>
      </c>
      <c r="C48" s="444" t="e">
        <f ca="1">INDEX(PriceRange,11,MATCH(Tier2,OFFSET(PriceRange,0,0,1),0))</f>
        <v>#N/A</v>
      </c>
      <c r="F48" s="3" t="s">
        <v>2150</v>
      </c>
      <c r="G48" s="410">
        <v>730</v>
      </c>
      <c r="H48" s="432">
        <v>410</v>
      </c>
      <c r="I48" s="412">
        <v>730</v>
      </c>
    </row>
    <row r="49" spans="2:9" ht="12.75">
      <c r="B49" s="427" t="s">
        <v>2070</v>
      </c>
      <c r="C49" s="444" t="e">
        <f ca="1">INDEX(PriceRange,12,MATCH(Tier2,OFFSET(PriceRange,0,0,1),0))</f>
        <v>#N/A</v>
      </c>
      <c r="F49" s="3" t="s">
        <v>1468</v>
      </c>
      <c r="G49" s="410">
        <v>730</v>
      </c>
      <c r="H49" s="432">
        <v>410</v>
      </c>
      <c r="I49" s="412">
        <v>730</v>
      </c>
    </row>
    <row r="50" spans="2:9" ht="12.75">
      <c r="B50" s="427" t="s">
        <v>2071</v>
      </c>
      <c r="C50" s="444" t="e">
        <f ca="1">INDEX(PriceRange,13,MATCH(Tier2,OFFSET(PriceRange,0,0,1),0))</f>
        <v>#N/A</v>
      </c>
      <c r="F50" s="3" t="s">
        <v>2092</v>
      </c>
      <c r="G50" s="410">
        <v>730</v>
      </c>
      <c r="H50" s="411">
        <v>410</v>
      </c>
      <c r="I50" s="412"/>
    </row>
    <row r="51" spans="2:9" ht="12.75">
      <c r="B51" s="427" t="s">
        <v>2072</v>
      </c>
      <c r="C51" s="444" t="e">
        <f ca="1">INDEX(PriceRange,14,MATCH(Tier2,OFFSET(PriceRange,0,0,1),0))</f>
        <v>#N/A</v>
      </c>
      <c r="F51" s="3" t="s">
        <v>2147</v>
      </c>
      <c r="G51" s="410">
        <v>730</v>
      </c>
      <c r="H51" s="411">
        <v>410</v>
      </c>
      <c r="I51" s="412">
        <v>730</v>
      </c>
    </row>
    <row r="52" spans="2:9" ht="12.75">
      <c r="B52" s="427" t="s">
        <v>2124</v>
      </c>
      <c r="C52" s="444" t="e">
        <f ca="1">INDEX(PriceRange,15,MATCH(Tier2,OFFSET(PriceRange,0,0,1),0))</f>
        <v>#N/A</v>
      </c>
      <c r="F52" s="3" t="s">
        <v>2184</v>
      </c>
      <c r="G52" s="410">
        <v>730</v>
      </c>
      <c r="H52" s="411"/>
      <c r="I52" s="412">
        <v>730</v>
      </c>
    </row>
    <row r="53" spans="2:9" ht="12.75">
      <c r="B53" s="427" t="s">
        <v>2125</v>
      </c>
      <c r="C53" s="444" t="e">
        <f ca="1">INDEX(PriceRange,16,MATCH(Tier2,OFFSET(PriceRange,0,0,1),0))</f>
        <v>#N/A</v>
      </c>
      <c r="F53" s="3" t="s">
        <v>1187</v>
      </c>
      <c r="G53" s="410">
        <v>730</v>
      </c>
      <c r="H53" s="432">
        <v>410</v>
      </c>
      <c r="I53" s="412">
        <v>730</v>
      </c>
    </row>
    <row r="54" spans="2:9" ht="12.75">
      <c r="B54" s="427" t="s">
        <v>2126</v>
      </c>
      <c r="C54" s="444" t="e">
        <f ca="1">INDEX(PriceRange,17,MATCH(Tier2,OFFSET(PriceRange,0,0,1),0))</f>
        <v>#N/A</v>
      </c>
      <c r="F54" s="3" t="s">
        <v>2149</v>
      </c>
      <c r="G54" s="410">
        <v>830</v>
      </c>
      <c r="H54" s="411">
        <v>510</v>
      </c>
      <c r="I54" s="412">
        <v>830</v>
      </c>
    </row>
    <row r="55" spans="2:9" ht="12.75">
      <c r="B55" s="427" t="s">
        <v>1487</v>
      </c>
      <c r="C55" s="444" t="e">
        <f ca="1">INDEX(PriceRange,18,MATCH(Tier2,OFFSET(PriceRange,0,0,1),0))</f>
        <v>#N/A</v>
      </c>
      <c r="F55" s="3" t="s">
        <v>1488</v>
      </c>
      <c r="G55" s="410"/>
      <c r="H55" s="411">
        <v>0</v>
      </c>
      <c r="I55" s="438"/>
    </row>
    <row r="56" spans="2:9" ht="12.75">
      <c r="B56" s="439" t="s">
        <v>1937</v>
      </c>
      <c r="C56" s="444" t="e">
        <f ca="1">INDEX(PriceRange,19,MATCH(Tier2,OFFSET(PriceRange,0,0,1),0))</f>
        <v>#N/A</v>
      </c>
      <c r="F56" s="440" t="s">
        <v>1937</v>
      </c>
      <c r="G56" s="441"/>
      <c r="H56" s="442"/>
      <c r="I56" s="443"/>
    </row>
    <row r="57" spans="2:9" ht="12.75">
      <c r="B57" s="439" t="s">
        <v>1150</v>
      </c>
      <c r="C57" s="444" t="e">
        <f ca="1">INDEX(PriceRange,20,MATCH(Tier2,OFFSET(PriceRange,0,0,1),0))</f>
        <v>#N/A</v>
      </c>
      <c r="F57" s="440" t="s">
        <v>1150</v>
      </c>
      <c r="G57" s="441"/>
      <c r="H57" s="442"/>
      <c r="I57" s="443"/>
    </row>
    <row r="58" spans="2:3" ht="12.75">
      <c r="B58" s="427" t="s">
        <v>2135</v>
      </c>
      <c r="C58" s="6">
        <v>100</v>
      </c>
    </row>
    <row r="68" spans="18:20" ht="12.75">
      <c r="R68" s="17"/>
      <c r="S68" s="411"/>
      <c r="T68" s="411"/>
    </row>
  </sheetData>
  <sheetProtection password="CF39" sheet="1"/>
  <conditionalFormatting sqref="G38:I38">
    <cfRule type="cellIs" priority="2" dxfId="0" operator="equal" stopIfTrue="1">
      <formula>Tier2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771"/>
  <sheetViews>
    <sheetView zoomScalePageLayoutView="0" workbookViewId="0" topLeftCell="T1">
      <selection activeCell="T1" sqref="T1"/>
    </sheetView>
  </sheetViews>
  <sheetFormatPr defaultColWidth="9.140625" defaultRowHeight="12.75"/>
  <cols>
    <col min="1" max="1" width="44.7109375" style="0" hidden="1" customWidth="1"/>
    <col min="2" max="3" width="25.57421875" style="0" hidden="1" customWidth="1"/>
    <col min="4" max="19" width="0" style="0" hidden="1" customWidth="1"/>
  </cols>
  <sheetData>
    <row r="1" spans="1:19" ht="12.75">
      <c r="A1" s="370" t="s">
        <v>394</v>
      </c>
      <c r="B1" s="370" t="s">
        <v>118</v>
      </c>
      <c r="C1" s="370" t="s">
        <v>1089</v>
      </c>
      <c r="D1" s="371" t="s">
        <v>1091</v>
      </c>
      <c r="E1" s="371" t="s">
        <v>1092</v>
      </c>
      <c r="F1" s="371" t="s">
        <v>1093</v>
      </c>
      <c r="G1" s="371" t="s">
        <v>1094</v>
      </c>
      <c r="H1" s="371" t="s">
        <v>1095</v>
      </c>
      <c r="I1" s="371" t="s">
        <v>1096</v>
      </c>
      <c r="J1" s="371" t="s">
        <v>1097</v>
      </c>
      <c r="K1" s="371" t="s">
        <v>1098</v>
      </c>
      <c r="L1" s="371" t="s">
        <v>1099</v>
      </c>
      <c r="M1" s="371" t="s">
        <v>1100</v>
      </c>
      <c r="N1" s="371" t="s">
        <v>1101</v>
      </c>
      <c r="O1" s="371" t="s">
        <v>1102</v>
      </c>
      <c r="P1" s="371" t="s">
        <v>1103</v>
      </c>
      <c r="Q1" s="371" t="s">
        <v>1104</v>
      </c>
      <c r="R1" s="371" t="s">
        <v>1105</v>
      </c>
      <c r="S1" s="371" t="s">
        <v>1106</v>
      </c>
    </row>
    <row r="2" spans="1:19" ht="12.75">
      <c r="A2" s="369" t="s">
        <v>1944</v>
      </c>
      <c r="B2" s="369" t="s">
        <v>1943</v>
      </c>
      <c r="C2" s="369" t="s">
        <v>395</v>
      </c>
      <c r="D2" s="372">
        <v>0</v>
      </c>
      <c r="E2" s="372">
        <v>0</v>
      </c>
      <c r="F2" s="372">
        <v>0</v>
      </c>
      <c r="G2" s="372">
        <v>0</v>
      </c>
      <c r="H2" s="372">
        <v>0</v>
      </c>
      <c r="I2" s="372">
        <v>0</v>
      </c>
      <c r="J2" s="372">
        <v>0</v>
      </c>
      <c r="K2" s="372">
        <v>0</v>
      </c>
      <c r="L2" s="372">
        <v>0</v>
      </c>
      <c r="M2" s="372">
        <v>0</v>
      </c>
      <c r="N2" s="372">
        <v>0</v>
      </c>
      <c r="O2" s="372">
        <v>0</v>
      </c>
      <c r="P2" s="372">
        <v>0</v>
      </c>
      <c r="Q2" s="372">
        <v>0</v>
      </c>
      <c r="R2" s="372">
        <v>0</v>
      </c>
      <c r="S2" s="372">
        <v>0</v>
      </c>
    </row>
    <row r="3" spans="1:19" ht="12.75">
      <c r="A3" s="369" t="s">
        <v>1490</v>
      </c>
      <c r="B3" s="369" t="s">
        <v>1491</v>
      </c>
      <c r="C3" s="369"/>
      <c r="D3" s="372">
        <v>0</v>
      </c>
      <c r="E3" s="372">
        <v>0</v>
      </c>
      <c r="F3" s="372">
        <v>0</v>
      </c>
      <c r="G3" s="372">
        <v>0</v>
      </c>
      <c r="H3" s="372">
        <v>0</v>
      </c>
      <c r="I3" s="372">
        <v>0</v>
      </c>
      <c r="J3" s="372">
        <v>0</v>
      </c>
      <c r="K3" s="372">
        <v>0</v>
      </c>
      <c r="L3" s="372">
        <v>0</v>
      </c>
      <c r="M3" s="372">
        <v>0</v>
      </c>
      <c r="N3" s="372">
        <v>0</v>
      </c>
      <c r="O3" s="372">
        <v>0</v>
      </c>
      <c r="P3" s="372">
        <v>0</v>
      </c>
      <c r="Q3" s="372">
        <v>0</v>
      </c>
      <c r="R3" s="372">
        <v>0</v>
      </c>
      <c r="S3" s="372">
        <v>0</v>
      </c>
    </row>
    <row r="4" spans="1:19" ht="12.75">
      <c r="A4" s="369" t="s">
        <v>6</v>
      </c>
      <c r="B4" s="369" t="s">
        <v>1409</v>
      </c>
      <c r="C4" s="369" t="s">
        <v>396</v>
      </c>
      <c r="D4" s="372">
        <v>0</v>
      </c>
      <c r="E4" s="372">
        <v>0</v>
      </c>
      <c r="F4" s="372">
        <v>0</v>
      </c>
      <c r="G4" s="372">
        <v>0</v>
      </c>
      <c r="H4" s="372">
        <v>0</v>
      </c>
      <c r="I4" s="372">
        <v>0</v>
      </c>
      <c r="J4" s="372">
        <v>0</v>
      </c>
      <c r="K4" s="372">
        <v>0</v>
      </c>
      <c r="L4" s="372">
        <v>0</v>
      </c>
      <c r="M4" s="372">
        <v>0</v>
      </c>
      <c r="N4" s="372">
        <v>0</v>
      </c>
      <c r="O4" s="372">
        <v>0</v>
      </c>
      <c r="P4" s="372">
        <v>0</v>
      </c>
      <c r="Q4" s="372">
        <v>0</v>
      </c>
      <c r="R4" s="372">
        <v>0</v>
      </c>
      <c r="S4" s="372">
        <v>0</v>
      </c>
    </row>
    <row r="5" spans="1:19" ht="12.75">
      <c r="A5" s="369" t="s">
        <v>1441</v>
      </c>
      <c r="B5" s="369" t="s">
        <v>2024</v>
      </c>
      <c r="C5" s="369" t="s">
        <v>397</v>
      </c>
      <c r="D5" s="372">
        <v>0</v>
      </c>
      <c r="E5" s="372">
        <v>1</v>
      </c>
      <c r="F5" s="372">
        <v>0</v>
      </c>
      <c r="G5" s="372">
        <v>0</v>
      </c>
      <c r="H5" s="372">
        <v>0</v>
      </c>
      <c r="I5" s="372">
        <v>0</v>
      </c>
      <c r="J5" s="372">
        <v>0</v>
      </c>
      <c r="K5" s="372">
        <v>0</v>
      </c>
      <c r="L5" s="372">
        <v>1</v>
      </c>
      <c r="M5" s="372">
        <v>0</v>
      </c>
      <c r="N5" s="372">
        <v>0</v>
      </c>
      <c r="O5" s="372">
        <v>0</v>
      </c>
      <c r="P5" s="372">
        <v>1</v>
      </c>
      <c r="Q5" s="372">
        <v>1</v>
      </c>
      <c r="R5" s="372">
        <v>1</v>
      </c>
      <c r="S5" s="372">
        <v>0</v>
      </c>
    </row>
    <row r="6" spans="1:19" ht="12.75">
      <c r="A6" s="369" t="s">
        <v>108</v>
      </c>
      <c r="B6" s="369" t="s">
        <v>2025</v>
      </c>
      <c r="C6" s="369" t="s">
        <v>398</v>
      </c>
      <c r="D6" s="372">
        <v>0</v>
      </c>
      <c r="E6" s="372">
        <v>0</v>
      </c>
      <c r="F6" s="372">
        <v>0</v>
      </c>
      <c r="G6" s="372">
        <v>0</v>
      </c>
      <c r="H6" s="372">
        <v>0</v>
      </c>
      <c r="I6" s="372">
        <v>0</v>
      </c>
      <c r="J6" s="372">
        <v>0</v>
      </c>
      <c r="K6" s="372">
        <v>0</v>
      </c>
      <c r="L6" s="372">
        <v>1</v>
      </c>
      <c r="M6" s="372">
        <v>0</v>
      </c>
      <c r="N6" s="372">
        <v>0</v>
      </c>
      <c r="O6" s="372">
        <v>0</v>
      </c>
      <c r="P6" s="372">
        <v>0</v>
      </c>
      <c r="Q6" s="372">
        <v>0</v>
      </c>
      <c r="R6" s="372">
        <v>0</v>
      </c>
      <c r="S6" s="372">
        <v>0</v>
      </c>
    </row>
    <row r="7" spans="1:19" ht="12.75">
      <c r="A7" s="369" t="s">
        <v>2137</v>
      </c>
      <c r="B7" s="369" t="s">
        <v>2138</v>
      </c>
      <c r="C7" s="369"/>
      <c r="D7" s="372">
        <v>0</v>
      </c>
      <c r="E7" s="372">
        <v>0</v>
      </c>
      <c r="F7" s="372">
        <v>0</v>
      </c>
      <c r="G7" s="372">
        <v>0</v>
      </c>
      <c r="H7" s="372">
        <v>0</v>
      </c>
      <c r="I7" s="372">
        <v>0</v>
      </c>
      <c r="J7" s="372">
        <v>0</v>
      </c>
      <c r="K7" s="372">
        <v>0</v>
      </c>
      <c r="L7" s="372">
        <v>0</v>
      </c>
      <c r="M7" s="372">
        <v>0</v>
      </c>
      <c r="N7" s="372">
        <v>0</v>
      </c>
      <c r="O7" s="372">
        <v>0</v>
      </c>
      <c r="P7" s="372">
        <v>0</v>
      </c>
      <c r="Q7" s="372">
        <v>0</v>
      </c>
      <c r="R7" s="372">
        <v>0</v>
      </c>
      <c r="S7" s="372">
        <v>0</v>
      </c>
    </row>
    <row r="8" spans="1:19" ht="12.75">
      <c r="A8" s="369" t="s">
        <v>7</v>
      </c>
      <c r="B8" s="369" t="s">
        <v>7</v>
      </c>
      <c r="C8" s="369" t="s">
        <v>399</v>
      </c>
      <c r="D8" s="372">
        <v>0</v>
      </c>
      <c r="E8" s="372">
        <v>0</v>
      </c>
      <c r="F8" s="372">
        <v>0</v>
      </c>
      <c r="G8" s="372">
        <v>0</v>
      </c>
      <c r="H8" s="372">
        <v>0</v>
      </c>
      <c r="I8" s="372">
        <v>0</v>
      </c>
      <c r="J8" s="372">
        <v>0</v>
      </c>
      <c r="K8" s="372">
        <v>0</v>
      </c>
      <c r="L8" s="372">
        <v>0</v>
      </c>
      <c r="M8" s="372">
        <v>0</v>
      </c>
      <c r="N8" s="372">
        <v>0</v>
      </c>
      <c r="O8" s="372">
        <v>0</v>
      </c>
      <c r="P8" s="372">
        <v>0</v>
      </c>
      <c r="Q8" s="372">
        <v>0</v>
      </c>
      <c r="R8" s="372">
        <v>0</v>
      </c>
      <c r="S8" s="372">
        <v>0</v>
      </c>
    </row>
    <row r="9" spans="1:19" ht="12.75">
      <c r="A9" s="369" t="s">
        <v>258</v>
      </c>
      <c r="B9" s="369" t="s">
        <v>2026</v>
      </c>
      <c r="C9" s="369" t="s">
        <v>400</v>
      </c>
      <c r="D9" s="372">
        <v>0</v>
      </c>
      <c r="E9" s="372">
        <v>0</v>
      </c>
      <c r="F9" s="372">
        <v>0</v>
      </c>
      <c r="G9" s="372">
        <v>0</v>
      </c>
      <c r="H9" s="372">
        <v>0</v>
      </c>
      <c r="I9" s="372">
        <v>0</v>
      </c>
      <c r="J9" s="372">
        <v>0</v>
      </c>
      <c r="K9" s="372">
        <v>1</v>
      </c>
      <c r="L9" s="372">
        <v>0</v>
      </c>
      <c r="M9" s="372">
        <v>0</v>
      </c>
      <c r="N9" s="372">
        <v>0</v>
      </c>
      <c r="O9" s="372">
        <v>0</v>
      </c>
      <c r="P9" s="372">
        <v>0</v>
      </c>
      <c r="Q9" s="372">
        <v>0</v>
      </c>
      <c r="R9" s="372">
        <v>0</v>
      </c>
      <c r="S9" s="372">
        <v>1</v>
      </c>
    </row>
    <row r="10" spans="1:19" ht="12.75">
      <c r="A10" s="369" t="s">
        <v>1223</v>
      </c>
      <c r="B10" s="369" t="s">
        <v>1529</v>
      </c>
      <c r="C10" s="369" t="s">
        <v>401</v>
      </c>
      <c r="D10" s="372">
        <v>0</v>
      </c>
      <c r="E10" s="372">
        <v>0</v>
      </c>
      <c r="F10" s="372">
        <v>0</v>
      </c>
      <c r="G10" s="372">
        <v>0</v>
      </c>
      <c r="H10" s="372">
        <v>0</v>
      </c>
      <c r="I10" s="372">
        <v>0</v>
      </c>
      <c r="J10" s="372">
        <v>0</v>
      </c>
      <c r="K10" s="372">
        <v>0</v>
      </c>
      <c r="L10" s="372">
        <v>0</v>
      </c>
      <c r="M10" s="372">
        <v>0</v>
      </c>
      <c r="N10" s="372">
        <v>0</v>
      </c>
      <c r="O10" s="372">
        <v>0</v>
      </c>
      <c r="P10" s="372">
        <v>0</v>
      </c>
      <c r="Q10" s="372">
        <v>0</v>
      </c>
      <c r="R10" s="372">
        <v>0</v>
      </c>
      <c r="S10" s="372">
        <v>0</v>
      </c>
    </row>
    <row r="11" spans="1:19" ht="12.75">
      <c r="A11" s="369" t="s">
        <v>2497</v>
      </c>
      <c r="B11" s="369" t="s">
        <v>2308</v>
      </c>
      <c r="C11" s="369" t="s">
        <v>402</v>
      </c>
      <c r="D11" s="372">
        <v>0</v>
      </c>
      <c r="E11" s="372">
        <v>0</v>
      </c>
      <c r="F11" s="372">
        <v>0</v>
      </c>
      <c r="G11" s="372">
        <v>0</v>
      </c>
      <c r="H11" s="372">
        <v>0</v>
      </c>
      <c r="I11" s="372">
        <v>0</v>
      </c>
      <c r="J11" s="372">
        <v>0</v>
      </c>
      <c r="K11" s="372">
        <v>0</v>
      </c>
      <c r="L11" s="372">
        <v>0</v>
      </c>
      <c r="M11" s="372">
        <v>0</v>
      </c>
      <c r="N11" s="372">
        <v>0</v>
      </c>
      <c r="O11" s="372">
        <v>0</v>
      </c>
      <c r="P11" s="372">
        <v>0</v>
      </c>
      <c r="Q11" s="372">
        <v>0</v>
      </c>
      <c r="R11" s="372">
        <v>0</v>
      </c>
      <c r="S11" s="372">
        <v>0</v>
      </c>
    </row>
    <row r="12" spans="1:19" ht="12.75">
      <c r="A12" s="369" t="s">
        <v>2498</v>
      </c>
      <c r="B12" s="369" t="s">
        <v>2027</v>
      </c>
      <c r="C12" s="369" t="s">
        <v>403</v>
      </c>
      <c r="D12" s="372">
        <v>0</v>
      </c>
      <c r="E12" s="372">
        <v>0</v>
      </c>
      <c r="F12" s="372">
        <v>0</v>
      </c>
      <c r="G12" s="372">
        <v>0</v>
      </c>
      <c r="H12" s="372">
        <v>0</v>
      </c>
      <c r="I12" s="372">
        <v>0</v>
      </c>
      <c r="J12" s="372">
        <v>0</v>
      </c>
      <c r="K12" s="372">
        <v>0</v>
      </c>
      <c r="L12" s="372">
        <v>0</v>
      </c>
      <c r="M12" s="372">
        <v>0</v>
      </c>
      <c r="N12" s="372">
        <v>0</v>
      </c>
      <c r="O12" s="372">
        <v>0</v>
      </c>
      <c r="P12" s="372">
        <v>0</v>
      </c>
      <c r="Q12" s="372">
        <v>0</v>
      </c>
      <c r="R12" s="372">
        <v>0</v>
      </c>
      <c r="S12" s="372">
        <v>0</v>
      </c>
    </row>
    <row r="13" spans="1:19" ht="12.75">
      <c r="A13" s="369" t="s">
        <v>2139</v>
      </c>
      <c r="B13" s="369" t="s">
        <v>1551</v>
      </c>
      <c r="C13" s="369" t="s">
        <v>404</v>
      </c>
      <c r="D13" s="372">
        <v>0</v>
      </c>
      <c r="E13" s="372">
        <v>0</v>
      </c>
      <c r="F13" s="372">
        <v>0</v>
      </c>
      <c r="G13" s="372">
        <v>0</v>
      </c>
      <c r="H13" s="372">
        <v>0</v>
      </c>
      <c r="I13" s="372">
        <v>0</v>
      </c>
      <c r="J13" s="372">
        <v>0</v>
      </c>
      <c r="K13" s="372">
        <v>0</v>
      </c>
      <c r="L13" s="372">
        <v>0</v>
      </c>
      <c r="M13" s="372">
        <v>0</v>
      </c>
      <c r="N13" s="372">
        <v>0</v>
      </c>
      <c r="O13" s="372">
        <v>0</v>
      </c>
      <c r="P13" s="372">
        <v>0</v>
      </c>
      <c r="Q13" s="372">
        <v>0</v>
      </c>
      <c r="R13" s="372">
        <v>0</v>
      </c>
      <c r="S13" s="372">
        <v>0</v>
      </c>
    </row>
    <row r="14" spans="1:19" ht="12.75">
      <c r="A14" s="369" t="s">
        <v>1848</v>
      </c>
      <c r="B14" s="369" t="s">
        <v>2028</v>
      </c>
      <c r="C14" s="369" t="s">
        <v>405</v>
      </c>
      <c r="D14" s="372">
        <v>0</v>
      </c>
      <c r="E14" s="372">
        <v>0</v>
      </c>
      <c r="F14" s="372">
        <v>1</v>
      </c>
      <c r="G14" s="372">
        <v>0</v>
      </c>
      <c r="H14" s="372">
        <v>0</v>
      </c>
      <c r="I14" s="372">
        <v>0</v>
      </c>
      <c r="J14" s="372">
        <v>0</v>
      </c>
      <c r="K14" s="372">
        <v>0</v>
      </c>
      <c r="L14" s="372">
        <v>0</v>
      </c>
      <c r="M14" s="372">
        <v>0</v>
      </c>
      <c r="N14" s="372">
        <v>0</v>
      </c>
      <c r="O14" s="372">
        <v>0</v>
      </c>
      <c r="P14" s="372">
        <v>0</v>
      </c>
      <c r="Q14" s="372">
        <v>0</v>
      </c>
      <c r="R14" s="372">
        <v>0</v>
      </c>
      <c r="S14" s="372">
        <v>1</v>
      </c>
    </row>
    <row r="15" spans="1:19" ht="12.75">
      <c r="A15" s="369" t="s">
        <v>2246</v>
      </c>
      <c r="B15" s="369" t="s">
        <v>1225</v>
      </c>
      <c r="C15" s="369"/>
      <c r="D15" s="372">
        <v>0</v>
      </c>
      <c r="E15" s="372">
        <v>0</v>
      </c>
      <c r="F15" s="372">
        <v>0</v>
      </c>
      <c r="G15" s="372">
        <v>0</v>
      </c>
      <c r="H15" s="372">
        <v>0</v>
      </c>
      <c r="I15" s="372">
        <v>0</v>
      </c>
      <c r="J15" s="372">
        <v>0</v>
      </c>
      <c r="K15" s="372">
        <v>0</v>
      </c>
      <c r="L15" s="372">
        <v>0</v>
      </c>
      <c r="M15" s="372">
        <v>0</v>
      </c>
      <c r="N15" s="372">
        <v>0</v>
      </c>
      <c r="O15" s="372">
        <v>0</v>
      </c>
      <c r="P15" s="372">
        <v>0</v>
      </c>
      <c r="Q15" s="372">
        <v>0</v>
      </c>
      <c r="R15" s="372">
        <v>0</v>
      </c>
      <c r="S15" s="372">
        <v>0</v>
      </c>
    </row>
    <row r="16" spans="1:19" ht="12.75">
      <c r="A16" s="369" t="s">
        <v>237</v>
      </c>
      <c r="B16" s="369" t="s">
        <v>2238</v>
      </c>
      <c r="C16" s="369" t="s">
        <v>406</v>
      </c>
      <c r="D16" s="372">
        <v>1</v>
      </c>
      <c r="E16" s="372">
        <v>1</v>
      </c>
      <c r="F16" s="372">
        <v>0</v>
      </c>
      <c r="G16" s="372">
        <v>0</v>
      </c>
      <c r="H16" s="372">
        <v>0</v>
      </c>
      <c r="I16" s="372">
        <v>0</v>
      </c>
      <c r="J16" s="372">
        <v>0</v>
      </c>
      <c r="K16" s="372">
        <v>1</v>
      </c>
      <c r="L16" s="372">
        <v>1</v>
      </c>
      <c r="M16" s="372">
        <v>0</v>
      </c>
      <c r="N16" s="372">
        <v>1</v>
      </c>
      <c r="O16" s="372">
        <v>0</v>
      </c>
      <c r="P16" s="372">
        <v>0</v>
      </c>
      <c r="Q16" s="372">
        <v>0</v>
      </c>
      <c r="R16" s="372">
        <v>1</v>
      </c>
      <c r="S16" s="372">
        <v>1</v>
      </c>
    </row>
    <row r="17" spans="1:19" ht="12.75">
      <c r="A17" s="369" t="s">
        <v>238</v>
      </c>
      <c r="B17" s="369" t="s">
        <v>1978</v>
      </c>
      <c r="C17" s="369" t="s">
        <v>407</v>
      </c>
      <c r="D17" s="372">
        <v>0</v>
      </c>
      <c r="E17" s="372">
        <v>0</v>
      </c>
      <c r="F17" s="372">
        <v>0</v>
      </c>
      <c r="G17" s="372">
        <v>0</v>
      </c>
      <c r="H17" s="372">
        <v>0</v>
      </c>
      <c r="I17" s="372">
        <v>0</v>
      </c>
      <c r="J17" s="372">
        <v>0</v>
      </c>
      <c r="K17" s="372">
        <v>0</v>
      </c>
      <c r="L17" s="372">
        <v>0</v>
      </c>
      <c r="M17" s="372">
        <v>0</v>
      </c>
      <c r="N17" s="372">
        <v>0</v>
      </c>
      <c r="O17" s="372">
        <v>0</v>
      </c>
      <c r="P17" s="372">
        <v>0</v>
      </c>
      <c r="Q17" s="372">
        <v>0</v>
      </c>
      <c r="R17" s="372">
        <v>0</v>
      </c>
      <c r="S17" s="372">
        <v>0</v>
      </c>
    </row>
    <row r="18" spans="1:19" ht="12.75">
      <c r="A18" s="369" t="s">
        <v>2248</v>
      </c>
      <c r="B18" s="369" t="s">
        <v>2247</v>
      </c>
      <c r="C18" s="369" t="s">
        <v>408</v>
      </c>
      <c r="D18" s="372">
        <v>0</v>
      </c>
      <c r="E18" s="372">
        <v>0</v>
      </c>
      <c r="F18" s="372">
        <v>0</v>
      </c>
      <c r="G18" s="372">
        <v>0</v>
      </c>
      <c r="H18" s="372">
        <v>0</v>
      </c>
      <c r="I18" s="372">
        <v>0</v>
      </c>
      <c r="J18" s="372">
        <v>0</v>
      </c>
      <c r="K18" s="372">
        <v>0</v>
      </c>
      <c r="L18" s="372">
        <v>0</v>
      </c>
      <c r="M18" s="372">
        <v>0</v>
      </c>
      <c r="N18" s="372">
        <v>0</v>
      </c>
      <c r="O18" s="372">
        <v>0</v>
      </c>
      <c r="P18" s="372">
        <v>0</v>
      </c>
      <c r="Q18" s="372">
        <v>0</v>
      </c>
      <c r="R18" s="372">
        <v>0</v>
      </c>
      <c r="S18" s="372">
        <v>0</v>
      </c>
    </row>
    <row r="19" spans="1:19" ht="12.75">
      <c r="A19" s="369" t="s">
        <v>2250</v>
      </c>
      <c r="B19" s="369" t="s">
        <v>2249</v>
      </c>
      <c r="C19" s="369" t="s">
        <v>409</v>
      </c>
      <c r="D19" s="372">
        <v>0</v>
      </c>
      <c r="E19" s="372">
        <v>0</v>
      </c>
      <c r="F19" s="372">
        <v>0</v>
      </c>
      <c r="G19" s="372">
        <v>0</v>
      </c>
      <c r="H19" s="372">
        <v>0</v>
      </c>
      <c r="I19" s="372">
        <v>0</v>
      </c>
      <c r="J19" s="372">
        <v>0</v>
      </c>
      <c r="K19" s="372">
        <v>0</v>
      </c>
      <c r="L19" s="372">
        <v>0</v>
      </c>
      <c r="M19" s="372">
        <v>0</v>
      </c>
      <c r="N19" s="372">
        <v>0</v>
      </c>
      <c r="O19" s="372">
        <v>0</v>
      </c>
      <c r="P19" s="372">
        <v>0</v>
      </c>
      <c r="Q19" s="372">
        <v>0</v>
      </c>
      <c r="R19" s="372">
        <v>0</v>
      </c>
      <c r="S19" s="372">
        <v>0</v>
      </c>
    </row>
    <row r="20" spans="1:19" ht="12.75">
      <c r="A20" s="369" t="s">
        <v>2252</v>
      </c>
      <c r="B20" s="369" t="s">
        <v>2251</v>
      </c>
      <c r="C20" s="369" t="s">
        <v>410</v>
      </c>
      <c r="D20" s="372">
        <v>0</v>
      </c>
      <c r="E20" s="372">
        <v>0</v>
      </c>
      <c r="F20" s="372">
        <v>0</v>
      </c>
      <c r="G20" s="372">
        <v>0</v>
      </c>
      <c r="H20" s="372">
        <v>0</v>
      </c>
      <c r="I20" s="372">
        <v>0</v>
      </c>
      <c r="J20" s="372">
        <v>0</v>
      </c>
      <c r="K20" s="372">
        <v>0</v>
      </c>
      <c r="L20" s="372">
        <v>0</v>
      </c>
      <c r="M20" s="372">
        <v>0</v>
      </c>
      <c r="N20" s="372">
        <v>0</v>
      </c>
      <c r="O20" s="372">
        <v>0</v>
      </c>
      <c r="P20" s="372">
        <v>0</v>
      </c>
      <c r="Q20" s="372">
        <v>0</v>
      </c>
      <c r="R20" s="372">
        <v>0</v>
      </c>
      <c r="S20" s="372">
        <v>0</v>
      </c>
    </row>
    <row r="21" spans="1:19" ht="12.75">
      <c r="A21" s="369" t="s">
        <v>1492</v>
      </c>
      <c r="B21" s="369" t="s">
        <v>1493</v>
      </c>
      <c r="C21" s="369" t="s">
        <v>411</v>
      </c>
      <c r="D21" s="372">
        <v>0</v>
      </c>
      <c r="E21" s="372">
        <v>0</v>
      </c>
      <c r="F21" s="372">
        <v>0</v>
      </c>
      <c r="G21" s="372">
        <v>0</v>
      </c>
      <c r="H21" s="372">
        <v>0</v>
      </c>
      <c r="I21" s="372">
        <v>0</v>
      </c>
      <c r="J21" s="372">
        <v>0</v>
      </c>
      <c r="K21" s="372">
        <v>0</v>
      </c>
      <c r="L21" s="372">
        <v>0</v>
      </c>
      <c r="M21" s="372">
        <v>0</v>
      </c>
      <c r="N21" s="372">
        <v>0</v>
      </c>
      <c r="O21" s="372">
        <v>0</v>
      </c>
      <c r="P21" s="372">
        <v>0</v>
      </c>
      <c r="Q21" s="372">
        <v>0</v>
      </c>
      <c r="R21" s="372">
        <v>0</v>
      </c>
      <c r="S21" s="372">
        <v>0</v>
      </c>
    </row>
    <row r="22" spans="1:19" ht="12.75">
      <c r="A22" s="369" t="s">
        <v>289</v>
      </c>
      <c r="B22" s="369" t="s">
        <v>288</v>
      </c>
      <c r="C22" s="369" t="s">
        <v>412</v>
      </c>
      <c r="D22" s="372">
        <v>0</v>
      </c>
      <c r="E22" s="372">
        <v>0</v>
      </c>
      <c r="F22" s="372">
        <v>0</v>
      </c>
      <c r="G22" s="372">
        <v>0</v>
      </c>
      <c r="H22" s="372">
        <v>0</v>
      </c>
      <c r="I22" s="372">
        <v>0</v>
      </c>
      <c r="J22" s="372">
        <v>0</v>
      </c>
      <c r="K22" s="372">
        <v>0</v>
      </c>
      <c r="L22" s="372">
        <v>0</v>
      </c>
      <c r="M22" s="372">
        <v>0</v>
      </c>
      <c r="N22" s="372">
        <v>0</v>
      </c>
      <c r="O22" s="372">
        <v>0</v>
      </c>
      <c r="P22" s="372">
        <v>0</v>
      </c>
      <c r="Q22" s="372">
        <v>0</v>
      </c>
      <c r="R22" s="372">
        <v>0</v>
      </c>
      <c r="S22" s="372">
        <v>0</v>
      </c>
    </row>
    <row r="23" spans="1:19" ht="12.75">
      <c r="A23" s="369" t="s">
        <v>383</v>
      </c>
      <c r="B23" s="369" t="s">
        <v>2309</v>
      </c>
      <c r="C23" s="369"/>
      <c r="D23" s="372">
        <v>0</v>
      </c>
      <c r="E23" s="372">
        <v>0</v>
      </c>
      <c r="F23" s="372">
        <v>0</v>
      </c>
      <c r="G23" s="372">
        <v>0</v>
      </c>
      <c r="H23" s="372">
        <v>0</v>
      </c>
      <c r="I23" s="372">
        <v>0</v>
      </c>
      <c r="J23" s="372">
        <v>0</v>
      </c>
      <c r="K23" s="372">
        <v>0</v>
      </c>
      <c r="L23" s="372">
        <v>0</v>
      </c>
      <c r="M23" s="372">
        <v>0</v>
      </c>
      <c r="N23" s="372">
        <v>0</v>
      </c>
      <c r="O23" s="372">
        <v>0</v>
      </c>
      <c r="P23" s="372">
        <v>0</v>
      </c>
      <c r="Q23" s="372">
        <v>0</v>
      </c>
      <c r="R23" s="372">
        <v>0</v>
      </c>
      <c r="S23" s="372">
        <v>0</v>
      </c>
    </row>
    <row r="24" spans="1:19" ht="12.75">
      <c r="A24" s="369" t="s">
        <v>2486</v>
      </c>
      <c r="B24" s="369" t="s">
        <v>290</v>
      </c>
      <c r="C24" s="369" t="s">
        <v>413</v>
      </c>
      <c r="D24" s="372">
        <v>0</v>
      </c>
      <c r="E24" s="372">
        <v>0</v>
      </c>
      <c r="F24" s="372">
        <v>0</v>
      </c>
      <c r="G24" s="372">
        <v>0</v>
      </c>
      <c r="H24" s="372">
        <v>0</v>
      </c>
      <c r="I24" s="372">
        <v>0</v>
      </c>
      <c r="J24" s="372">
        <v>0</v>
      </c>
      <c r="K24" s="372">
        <v>0</v>
      </c>
      <c r="L24" s="372">
        <v>0</v>
      </c>
      <c r="M24" s="372">
        <v>0</v>
      </c>
      <c r="N24" s="372">
        <v>0</v>
      </c>
      <c r="O24" s="372">
        <v>0</v>
      </c>
      <c r="P24" s="372">
        <v>0</v>
      </c>
      <c r="Q24" s="372">
        <v>0</v>
      </c>
      <c r="R24" s="372">
        <v>0</v>
      </c>
      <c r="S24" s="372">
        <v>0</v>
      </c>
    </row>
    <row r="25" spans="1:19" ht="12.75">
      <c r="A25" s="369" t="s">
        <v>1528</v>
      </c>
      <c r="B25" s="369" t="s">
        <v>1268</v>
      </c>
      <c r="C25" s="369" t="s">
        <v>414</v>
      </c>
      <c r="D25" s="372">
        <v>0</v>
      </c>
      <c r="E25" s="372">
        <v>0</v>
      </c>
      <c r="F25" s="372">
        <v>0</v>
      </c>
      <c r="G25" s="372">
        <v>0</v>
      </c>
      <c r="H25" s="372">
        <v>0</v>
      </c>
      <c r="I25" s="372">
        <v>0</v>
      </c>
      <c r="J25" s="372">
        <v>0</v>
      </c>
      <c r="K25" s="372">
        <v>0</v>
      </c>
      <c r="L25" s="372">
        <v>0</v>
      </c>
      <c r="M25" s="372">
        <v>0</v>
      </c>
      <c r="N25" s="372">
        <v>0</v>
      </c>
      <c r="O25" s="372">
        <v>0</v>
      </c>
      <c r="P25" s="372">
        <v>0</v>
      </c>
      <c r="Q25" s="372">
        <v>0</v>
      </c>
      <c r="R25" s="372">
        <v>0</v>
      </c>
      <c r="S25" s="372">
        <v>0</v>
      </c>
    </row>
    <row r="26" spans="1:19" ht="12.75">
      <c r="A26" s="369" t="s">
        <v>384</v>
      </c>
      <c r="B26" s="369" t="s">
        <v>1666</v>
      </c>
      <c r="C26" s="369" t="s">
        <v>415</v>
      </c>
      <c r="D26" s="372">
        <v>0</v>
      </c>
      <c r="E26" s="372">
        <v>0</v>
      </c>
      <c r="F26" s="372">
        <v>0</v>
      </c>
      <c r="G26" s="372">
        <v>0</v>
      </c>
      <c r="H26" s="372">
        <v>0</v>
      </c>
      <c r="I26" s="372">
        <v>0</v>
      </c>
      <c r="J26" s="372">
        <v>0</v>
      </c>
      <c r="K26" s="372">
        <v>0</v>
      </c>
      <c r="L26" s="372">
        <v>0</v>
      </c>
      <c r="M26" s="372">
        <v>0</v>
      </c>
      <c r="N26" s="372">
        <v>0</v>
      </c>
      <c r="O26" s="372">
        <v>0</v>
      </c>
      <c r="P26" s="372">
        <v>0</v>
      </c>
      <c r="Q26" s="372">
        <v>0</v>
      </c>
      <c r="R26" s="372">
        <v>0</v>
      </c>
      <c r="S26" s="372">
        <v>0</v>
      </c>
    </row>
    <row r="27" spans="1:19" ht="12.75">
      <c r="A27" s="369" t="s">
        <v>283</v>
      </c>
      <c r="B27" s="369" t="s">
        <v>2487</v>
      </c>
      <c r="C27" s="369" t="s">
        <v>416</v>
      </c>
      <c r="D27" s="372">
        <v>0</v>
      </c>
      <c r="E27" s="372">
        <v>0</v>
      </c>
      <c r="F27" s="372">
        <v>0</v>
      </c>
      <c r="G27" s="372">
        <v>0</v>
      </c>
      <c r="H27" s="372">
        <v>0</v>
      </c>
      <c r="I27" s="372">
        <v>0</v>
      </c>
      <c r="J27" s="372">
        <v>0</v>
      </c>
      <c r="K27" s="372">
        <v>0</v>
      </c>
      <c r="L27" s="372">
        <v>0</v>
      </c>
      <c r="M27" s="372">
        <v>0</v>
      </c>
      <c r="N27" s="372">
        <v>0</v>
      </c>
      <c r="O27" s="372">
        <v>0</v>
      </c>
      <c r="P27" s="372">
        <v>0</v>
      </c>
      <c r="Q27" s="372">
        <v>0</v>
      </c>
      <c r="R27" s="372">
        <v>0</v>
      </c>
      <c r="S27" s="372">
        <v>0</v>
      </c>
    </row>
    <row r="28" spans="1:19" ht="12.75">
      <c r="A28" s="369" t="s">
        <v>2390</v>
      </c>
      <c r="B28" s="369" t="s">
        <v>2391</v>
      </c>
      <c r="C28" s="369" t="s">
        <v>417</v>
      </c>
      <c r="D28" s="372">
        <v>0</v>
      </c>
      <c r="E28" s="372">
        <v>0</v>
      </c>
      <c r="F28" s="372">
        <v>0</v>
      </c>
      <c r="G28" s="372">
        <v>0</v>
      </c>
      <c r="H28" s="372">
        <v>0</v>
      </c>
      <c r="I28" s="372">
        <v>0</v>
      </c>
      <c r="J28" s="372">
        <v>0</v>
      </c>
      <c r="K28" s="372">
        <v>0</v>
      </c>
      <c r="L28" s="372">
        <v>0</v>
      </c>
      <c r="M28" s="372">
        <v>0</v>
      </c>
      <c r="N28" s="372">
        <v>0</v>
      </c>
      <c r="O28" s="372">
        <v>0</v>
      </c>
      <c r="P28" s="372">
        <v>0</v>
      </c>
      <c r="Q28" s="372">
        <v>0</v>
      </c>
      <c r="R28" s="372">
        <v>0</v>
      </c>
      <c r="S28" s="372">
        <v>0</v>
      </c>
    </row>
    <row r="29" spans="1:19" ht="12.75">
      <c r="A29" s="369" t="s">
        <v>1979</v>
      </c>
      <c r="B29" s="369" t="s">
        <v>1667</v>
      </c>
      <c r="C29" s="369" t="s">
        <v>418</v>
      </c>
      <c r="D29" s="372">
        <v>1</v>
      </c>
      <c r="E29" s="372">
        <v>0</v>
      </c>
      <c r="F29" s="372">
        <v>1</v>
      </c>
      <c r="G29" s="372">
        <v>1</v>
      </c>
      <c r="H29" s="372">
        <v>1</v>
      </c>
      <c r="I29" s="372">
        <v>1</v>
      </c>
      <c r="J29" s="372">
        <v>1</v>
      </c>
      <c r="K29" s="372">
        <v>1</v>
      </c>
      <c r="L29" s="372">
        <v>1</v>
      </c>
      <c r="M29" s="372">
        <v>1</v>
      </c>
      <c r="N29" s="372">
        <v>1</v>
      </c>
      <c r="O29" s="372">
        <v>1</v>
      </c>
      <c r="P29" s="372">
        <v>1</v>
      </c>
      <c r="Q29" s="372">
        <v>1</v>
      </c>
      <c r="R29" s="372">
        <v>1</v>
      </c>
      <c r="S29" s="372">
        <v>1</v>
      </c>
    </row>
    <row r="30" spans="1:19" ht="12.75">
      <c r="A30" s="369" t="s">
        <v>1181</v>
      </c>
      <c r="B30" s="369" t="s">
        <v>1182</v>
      </c>
      <c r="C30" s="369"/>
      <c r="D30" s="372">
        <v>0</v>
      </c>
      <c r="E30" s="372">
        <v>0</v>
      </c>
      <c r="F30" s="372">
        <v>0</v>
      </c>
      <c r="G30" s="372">
        <v>0</v>
      </c>
      <c r="H30" s="372">
        <v>0</v>
      </c>
      <c r="I30" s="372">
        <v>0</v>
      </c>
      <c r="J30" s="372">
        <v>0</v>
      </c>
      <c r="K30" s="372">
        <v>0</v>
      </c>
      <c r="L30" s="372">
        <v>0</v>
      </c>
      <c r="M30" s="372">
        <v>0</v>
      </c>
      <c r="N30" s="372">
        <v>0</v>
      </c>
      <c r="O30" s="372">
        <v>0</v>
      </c>
      <c r="P30" s="372">
        <v>0</v>
      </c>
      <c r="Q30" s="372">
        <v>0</v>
      </c>
      <c r="R30" s="372">
        <v>0</v>
      </c>
      <c r="S30" s="372">
        <v>0</v>
      </c>
    </row>
    <row r="31" spans="1:19" ht="12.75">
      <c r="A31" s="369" t="s">
        <v>385</v>
      </c>
      <c r="B31" s="369" t="s">
        <v>1668</v>
      </c>
      <c r="C31" s="369" t="s">
        <v>419</v>
      </c>
      <c r="D31" s="372">
        <v>1</v>
      </c>
      <c r="E31" s="372">
        <v>1</v>
      </c>
      <c r="F31" s="372">
        <v>1</v>
      </c>
      <c r="G31" s="372">
        <v>1</v>
      </c>
      <c r="H31" s="372">
        <v>1</v>
      </c>
      <c r="I31" s="372">
        <v>1</v>
      </c>
      <c r="J31" s="372">
        <v>1</v>
      </c>
      <c r="K31" s="372">
        <v>1</v>
      </c>
      <c r="L31" s="372">
        <v>1</v>
      </c>
      <c r="M31" s="372">
        <v>1</v>
      </c>
      <c r="N31" s="372">
        <v>1</v>
      </c>
      <c r="O31" s="372">
        <v>1</v>
      </c>
      <c r="P31" s="372">
        <v>1</v>
      </c>
      <c r="Q31" s="372">
        <v>1</v>
      </c>
      <c r="R31" s="372">
        <v>1</v>
      </c>
      <c r="S31" s="372">
        <v>1</v>
      </c>
    </row>
    <row r="32" spans="1:19" ht="12.75">
      <c r="A32" s="369" t="s">
        <v>1183</v>
      </c>
      <c r="B32" s="369" t="s">
        <v>1184</v>
      </c>
      <c r="C32" s="369"/>
      <c r="D32" s="372">
        <v>0</v>
      </c>
      <c r="E32" s="372">
        <v>0</v>
      </c>
      <c r="F32" s="372">
        <v>0</v>
      </c>
      <c r="G32" s="372">
        <v>0</v>
      </c>
      <c r="H32" s="372">
        <v>0</v>
      </c>
      <c r="I32" s="372">
        <v>0</v>
      </c>
      <c r="J32" s="372">
        <v>0</v>
      </c>
      <c r="K32" s="372">
        <v>0</v>
      </c>
      <c r="L32" s="372">
        <v>0</v>
      </c>
      <c r="M32" s="372">
        <v>0</v>
      </c>
      <c r="N32" s="372">
        <v>0</v>
      </c>
      <c r="O32" s="372">
        <v>0</v>
      </c>
      <c r="P32" s="372">
        <v>0</v>
      </c>
      <c r="Q32" s="372">
        <v>0</v>
      </c>
      <c r="R32" s="372">
        <v>0</v>
      </c>
      <c r="S32" s="372">
        <v>0</v>
      </c>
    </row>
    <row r="33" spans="1:19" ht="12.75">
      <c r="A33" s="369" t="s">
        <v>9</v>
      </c>
      <c r="B33" s="369" t="s">
        <v>1797</v>
      </c>
      <c r="C33" s="369" t="s">
        <v>420</v>
      </c>
      <c r="D33" s="372">
        <v>0</v>
      </c>
      <c r="E33" s="372">
        <v>0</v>
      </c>
      <c r="F33" s="372">
        <v>0</v>
      </c>
      <c r="G33" s="372">
        <v>0</v>
      </c>
      <c r="H33" s="372">
        <v>0</v>
      </c>
      <c r="I33" s="372">
        <v>0</v>
      </c>
      <c r="J33" s="372">
        <v>0</v>
      </c>
      <c r="K33" s="372">
        <v>0</v>
      </c>
      <c r="L33" s="372">
        <v>0</v>
      </c>
      <c r="M33" s="372">
        <v>0</v>
      </c>
      <c r="N33" s="372">
        <v>0</v>
      </c>
      <c r="O33" s="372">
        <v>0</v>
      </c>
      <c r="P33" s="372">
        <v>0</v>
      </c>
      <c r="Q33" s="372">
        <v>0</v>
      </c>
      <c r="R33" s="372">
        <v>0</v>
      </c>
      <c r="S33" s="372">
        <v>0</v>
      </c>
    </row>
    <row r="34" spans="1:19" ht="12.75">
      <c r="A34" s="369" t="s">
        <v>11</v>
      </c>
      <c r="B34" s="369" t="s">
        <v>10</v>
      </c>
      <c r="C34" s="369" t="s">
        <v>421</v>
      </c>
      <c r="D34" s="372">
        <v>0</v>
      </c>
      <c r="E34" s="372">
        <v>0</v>
      </c>
      <c r="F34" s="372">
        <v>0</v>
      </c>
      <c r="G34" s="372">
        <v>0</v>
      </c>
      <c r="H34" s="372">
        <v>0</v>
      </c>
      <c r="I34" s="372">
        <v>0</v>
      </c>
      <c r="J34" s="372">
        <v>0</v>
      </c>
      <c r="K34" s="372">
        <v>0</v>
      </c>
      <c r="L34" s="372">
        <v>0</v>
      </c>
      <c r="M34" s="372">
        <v>0</v>
      </c>
      <c r="N34" s="372">
        <v>0</v>
      </c>
      <c r="O34" s="372">
        <v>0</v>
      </c>
      <c r="P34" s="372">
        <v>0</v>
      </c>
      <c r="Q34" s="372">
        <v>0</v>
      </c>
      <c r="R34" s="372">
        <v>0</v>
      </c>
      <c r="S34" s="372">
        <v>0</v>
      </c>
    </row>
    <row r="35" spans="1:19" ht="12.75">
      <c r="A35" s="369" t="s">
        <v>386</v>
      </c>
      <c r="B35" s="369" t="s">
        <v>1669</v>
      </c>
      <c r="C35" s="369" t="s">
        <v>422</v>
      </c>
      <c r="D35" s="372">
        <v>0</v>
      </c>
      <c r="E35" s="372">
        <v>0</v>
      </c>
      <c r="F35" s="372">
        <v>0</v>
      </c>
      <c r="G35" s="372">
        <v>0</v>
      </c>
      <c r="H35" s="372">
        <v>0</v>
      </c>
      <c r="I35" s="372">
        <v>0</v>
      </c>
      <c r="J35" s="372">
        <v>0</v>
      </c>
      <c r="K35" s="372">
        <v>0</v>
      </c>
      <c r="L35" s="372">
        <v>1</v>
      </c>
      <c r="M35" s="372">
        <v>1</v>
      </c>
      <c r="N35" s="372">
        <v>1</v>
      </c>
      <c r="O35" s="372">
        <v>0</v>
      </c>
      <c r="P35" s="372">
        <v>0</v>
      </c>
      <c r="Q35" s="372">
        <v>0</v>
      </c>
      <c r="R35" s="372">
        <v>0</v>
      </c>
      <c r="S35" s="372">
        <v>1</v>
      </c>
    </row>
    <row r="36" spans="1:19" ht="12.75">
      <c r="A36" s="369" t="s">
        <v>13</v>
      </c>
      <c r="B36" s="369" t="s">
        <v>12</v>
      </c>
      <c r="C36" s="369" t="s">
        <v>423</v>
      </c>
      <c r="D36" s="372">
        <v>0</v>
      </c>
      <c r="E36" s="372">
        <v>0</v>
      </c>
      <c r="F36" s="372">
        <v>0</v>
      </c>
      <c r="G36" s="372">
        <v>0</v>
      </c>
      <c r="H36" s="372">
        <v>0</v>
      </c>
      <c r="I36" s="372">
        <v>0</v>
      </c>
      <c r="J36" s="372">
        <v>0</v>
      </c>
      <c r="K36" s="372">
        <v>0</v>
      </c>
      <c r="L36" s="372">
        <v>0</v>
      </c>
      <c r="M36" s="372">
        <v>0</v>
      </c>
      <c r="N36" s="372">
        <v>0</v>
      </c>
      <c r="O36" s="372">
        <v>0</v>
      </c>
      <c r="P36" s="372">
        <v>0</v>
      </c>
      <c r="Q36" s="372">
        <v>0</v>
      </c>
      <c r="R36" s="372">
        <v>0</v>
      </c>
      <c r="S36" s="372">
        <v>0</v>
      </c>
    </row>
    <row r="37" spans="1:19" ht="12.75">
      <c r="A37" s="369" t="s">
        <v>387</v>
      </c>
      <c r="B37" s="369" t="s">
        <v>251</v>
      </c>
      <c r="C37" s="369" t="s">
        <v>424</v>
      </c>
      <c r="D37" s="372">
        <v>0</v>
      </c>
      <c r="E37" s="372">
        <v>0</v>
      </c>
      <c r="F37" s="372">
        <v>0</v>
      </c>
      <c r="G37" s="372">
        <v>0</v>
      </c>
      <c r="H37" s="372">
        <v>0</v>
      </c>
      <c r="I37" s="372">
        <v>0</v>
      </c>
      <c r="J37" s="372">
        <v>0</v>
      </c>
      <c r="K37" s="372">
        <v>0</v>
      </c>
      <c r="L37" s="372">
        <v>0</v>
      </c>
      <c r="M37" s="372">
        <v>0</v>
      </c>
      <c r="N37" s="372">
        <v>0</v>
      </c>
      <c r="O37" s="372">
        <v>0</v>
      </c>
      <c r="P37" s="372">
        <v>0</v>
      </c>
      <c r="Q37" s="372">
        <v>0</v>
      </c>
      <c r="R37" s="372">
        <v>0</v>
      </c>
      <c r="S37" s="372">
        <v>0</v>
      </c>
    </row>
    <row r="38" spans="1:19" ht="12.75">
      <c r="A38" s="369" t="s">
        <v>1365</v>
      </c>
      <c r="B38" s="369" t="s">
        <v>1366</v>
      </c>
      <c r="C38" s="369"/>
      <c r="D38" s="372">
        <v>0</v>
      </c>
      <c r="E38" s="372">
        <v>0</v>
      </c>
      <c r="F38" s="372">
        <v>0</v>
      </c>
      <c r="G38" s="372">
        <v>0</v>
      </c>
      <c r="H38" s="372">
        <v>0</v>
      </c>
      <c r="I38" s="372">
        <v>0</v>
      </c>
      <c r="J38" s="372">
        <v>0</v>
      </c>
      <c r="K38" s="372">
        <v>0</v>
      </c>
      <c r="L38" s="372">
        <v>0</v>
      </c>
      <c r="M38" s="372">
        <v>0</v>
      </c>
      <c r="N38" s="372">
        <v>0</v>
      </c>
      <c r="O38" s="372">
        <v>0</v>
      </c>
      <c r="P38" s="372">
        <v>0</v>
      </c>
      <c r="Q38" s="372">
        <v>0</v>
      </c>
      <c r="R38" s="372">
        <v>0</v>
      </c>
      <c r="S38" s="372">
        <v>0</v>
      </c>
    </row>
    <row r="39" spans="1:19" ht="12.75">
      <c r="A39" s="369" t="s">
        <v>1214</v>
      </c>
      <c r="B39" s="369" t="s">
        <v>1670</v>
      </c>
      <c r="C39" s="369" t="s">
        <v>425</v>
      </c>
      <c r="D39" s="372">
        <v>1</v>
      </c>
      <c r="E39" s="372">
        <v>1</v>
      </c>
      <c r="F39" s="372">
        <v>1</v>
      </c>
      <c r="G39" s="372">
        <v>1</v>
      </c>
      <c r="H39" s="372">
        <v>1</v>
      </c>
      <c r="I39" s="372">
        <v>1</v>
      </c>
      <c r="J39" s="372">
        <v>1</v>
      </c>
      <c r="K39" s="372">
        <v>1</v>
      </c>
      <c r="L39" s="372">
        <v>1</v>
      </c>
      <c r="M39" s="372">
        <v>1</v>
      </c>
      <c r="N39" s="372">
        <v>1</v>
      </c>
      <c r="O39" s="372">
        <v>1</v>
      </c>
      <c r="P39" s="372">
        <v>1</v>
      </c>
      <c r="Q39" s="372">
        <v>0</v>
      </c>
      <c r="R39" s="372">
        <v>1</v>
      </c>
      <c r="S39" s="372">
        <v>1</v>
      </c>
    </row>
    <row r="40" spans="1:19" ht="12.75">
      <c r="A40" s="369" t="s">
        <v>239</v>
      </c>
      <c r="B40" s="369" t="s">
        <v>1671</v>
      </c>
      <c r="C40" s="369" t="s">
        <v>426</v>
      </c>
      <c r="D40" s="372">
        <v>1</v>
      </c>
      <c r="E40" s="372">
        <v>0</v>
      </c>
      <c r="F40" s="372">
        <v>0</v>
      </c>
      <c r="G40" s="372">
        <v>1</v>
      </c>
      <c r="H40" s="372">
        <v>1</v>
      </c>
      <c r="I40" s="372">
        <v>0</v>
      </c>
      <c r="J40" s="372">
        <v>0</v>
      </c>
      <c r="K40" s="372">
        <v>1</v>
      </c>
      <c r="L40" s="372">
        <v>1</v>
      </c>
      <c r="M40" s="372">
        <v>0</v>
      </c>
      <c r="N40" s="372">
        <v>1</v>
      </c>
      <c r="O40" s="372">
        <v>1</v>
      </c>
      <c r="P40" s="372">
        <v>0</v>
      </c>
      <c r="Q40" s="372">
        <v>0</v>
      </c>
      <c r="R40" s="372">
        <v>0</v>
      </c>
      <c r="S40" s="372">
        <v>1</v>
      </c>
    </row>
    <row r="41" spans="1:19" ht="12.75">
      <c r="A41" s="369" t="s">
        <v>2233</v>
      </c>
      <c r="B41" s="369" t="s">
        <v>14</v>
      </c>
      <c r="C41" s="369" t="s">
        <v>427</v>
      </c>
      <c r="D41" s="372">
        <v>0</v>
      </c>
      <c r="E41" s="372">
        <v>0</v>
      </c>
      <c r="F41" s="372">
        <v>0</v>
      </c>
      <c r="G41" s="372">
        <v>0</v>
      </c>
      <c r="H41" s="372">
        <v>0</v>
      </c>
      <c r="I41" s="372">
        <v>0</v>
      </c>
      <c r="J41" s="372">
        <v>0</v>
      </c>
      <c r="K41" s="372">
        <v>0</v>
      </c>
      <c r="L41" s="372">
        <v>0</v>
      </c>
      <c r="M41" s="372">
        <v>0</v>
      </c>
      <c r="N41" s="372">
        <v>0</v>
      </c>
      <c r="O41" s="372">
        <v>0</v>
      </c>
      <c r="P41" s="372">
        <v>0</v>
      </c>
      <c r="Q41" s="372">
        <v>0</v>
      </c>
      <c r="R41" s="372">
        <v>0</v>
      </c>
      <c r="S41" s="372">
        <v>0</v>
      </c>
    </row>
    <row r="42" spans="1:19" ht="12.75">
      <c r="A42" s="369" t="s">
        <v>2235</v>
      </c>
      <c r="B42" s="369" t="s">
        <v>2234</v>
      </c>
      <c r="C42" s="369" t="s">
        <v>428</v>
      </c>
      <c r="D42" s="372">
        <v>0</v>
      </c>
      <c r="E42" s="372">
        <v>0</v>
      </c>
      <c r="F42" s="372">
        <v>0</v>
      </c>
      <c r="G42" s="372">
        <v>0</v>
      </c>
      <c r="H42" s="372">
        <v>0</v>
      </c>
      <c r="I42" s="372">
        <v>0</v>
      </c>
      <c r="J42" s="372">
        <v>0</v>
      </c>
      <c r="K42" s="372">
        <v>0</v>
      </c>
      <c r="L42" s="372">
        <v>0</v>
      </c>
      <c r="M42" s="372">
        <v>0</v>
      </c>
      <c r="N42" s="372">
        <v>0</v>
      </c>
      <c r="O42" s="372">
        <v>0</v>
      </c>
      <c r="P42" s="372">
        <v>0</v>
      </c>
      <c r="Q42" s="372">
        <v>0</v>
      </c>
      <c r="R42" s="372">
        <v>0</v>
      </c>
      <c r="S42" s="372">
        <v>0</v>
      </c>
    </row>
    <row r="43" spans="1:19" ht="12.75">
      <c r="A43" s="369" t="s">
        <v>1792</v>
      </c>
      <c r="B43" s="369" t="s">
        <v>1672</v>
      </c>
      <c r="C43" s="369" t="s">
        <v>429</v>
      </c>
      <c r="D43" s="372">
        <v>0</v>
      </c>
      <c r="E43" s="372">
        <v>0</v>
      </c>
      <c r="F43" s="372">
        <v>0</v>
      </c>
      <c r="G43" s="372">
        <v>0</v>
      </c>
      <c r="H43" s="372">
        <v>0</v>
      </c>
      <c r="I43" s="372">
        <v>0</v>
      </c>
      <c r="J43" s="372">
        <v>0</v>
      </c>
      <c r="K43" s="372">
        <v>1</v>
      </c>
      <c r="L43" s="372">
        <v>0</v>
      </c>
      <c r="M43" s="372">
        <v>0</v>
      </c>
      <c r="N43" s="372">
        <v>0</v>
      </c>
      <c r="O43" s="372">
        <v>0</v>
      </c>
      <c r="P43" s="372">
        <v>0</v>
      </c>
      <c r="Q43" s="372">
        <v>1</v>
      </c>
      <c r="R43" s="372">
        <v>0</v>
      </c>
      <c r="S43" s="372">
        <v>0</v>
      </c>
    </row>
    <row r="44" spans="1:19" ht="12.75">
      <c r="A44" s="369" t="s">
        <v>1390</v>
      </c>
      <c r="B44" s="369" t="s">
        <v>1389</v>
      </c>
      <c r="C44" s="369" t="s">
        <v>430</v>
      </c>
      <c r="D44" s="372">
        <v>0</v>
      </c>
      <c r="E44" s="372">
        <v>0</v>
      </c>
      <c r="F44" s="372">
        <v>0</v>
      </c>
      <c r="G44" s="372">
        <v>0</v>
      </c>
      <c r="H44" s="372">
        <v>0</v>
      </c>
      <c r="I44" s="372">
        <v>0</v>
      </c>
      <c r="J44" s="372">
        <v>0</v>
      </c>
      <c r="K44" s="372">
        <v>0</v>
      </c>
      <c r="L44" s="372">
        <v>0</v>
      </c>
      <c r="M44" s="372">
        <v>0</v>
      </c>
      <c r="N44" s="372">
        <v>0</v>
      </c>
      <c r="O44" s="372">
        <v>0</v>
      </c>
      <c r="P44" s="372">
        <v>0</v>
      </c>
      <c r="Q44" s="372">
        <v>0</v>
      </c>
      <c r="R44" s="372">
        <v>0</v>
      </c>
      <c r="S44" s="372">
        <v>0</v>
      </c>
    </row>
    <row r="45" spans="1:19" ht="12.75">
      <c r="A45" s="369" t="s">
        <v>1392</v>
      </c>
      <c r="B45" s="369" t="s">
        <v>1391</v>
      </c>
      <c r="C45" s="369" t="s">
        <v>431</v>
      </c>
      <c r="D45" s="372">
        <v>0</v>
      </c>
      <c r="E45" s="372">
        <v>0</v>
      </c>
      <c r="F45" s="372">
        <v>0</v>
      </c>
      <c r="G45" s="372">
        <v>0</v>
      </c>
      <c r="H45" s="372">
        <v>0</v>
      </c>
      <c r="I45" s="372">
        <v>0</v>
      </c>
      <c r="J45" s="372">
        <v>0</v>
      </c>
      <c r="K45" s="372">
        <v>0</v>
      </c>
      <c r="L45" s="372">
        <v>0</v>
      </c>
      <c r="M45" s="372">
        <v>0</v>
      </c>
      <c r="N45" s="372">
        <v>0</v>
      </c>
      <c r="O45" s="372">
        <v>0</v>
      </c>
      <c r="P45" s="372">
        <v>0</v>
      </c>
      <c r="Q45" s="372">
        <v>0</v>
      </c>
      <c r="R45" s="372">
        <v>0</v>
      </c>
      <c r="S45" s="372">
        <v>0</v>
      </c>
    </row>
    <row r="46" spans="1:19" ht="12.75">
      <c r="A46" s="369" t="s">
        <v>1793</v>
      </c>
      <c r="B46" s="369" t="s">
        <v>2290</v>
      </c>
      <c r="C46" s="369" t="s">
        <v>432</v>
      </c>
      <c r="D46" s="372">
        <v>1</v>
      </c>
      <c r="E46" s="372">
        <v>1</v>
      </c>
      <c r="F46" s="372">
        <v>1</v>
      </c>
      <c r="G46" s="372">
        <v>1</v>
      </c>
      <c r="H46" s="372">
        <v>1</v>
      </c>
      <c r="I46" s="372">
        <v>1</v>
      </c>
      <c r="J46" s="372">
        <v>1</v>
      </c>
      <c r="K46" s="372">
        <v>1</v>
      </c>
      <c r="L46" s="372">
        <v>1</v>
      </c>
      <c r="M46" s="372">
        <v>1</v>
      </c>
      <c r="N46" s="372">
        <v>1</v>
      </c>
      <c r="O46" s="372">
        <v>1</v>
      </c>
      <c r="P46" s="372">
        <v>1</v>
      </c>
      <c r="Q46" s="372">
        <v>1</v>
      </c>
      <c r="R46" s="372">
        <v>1</v>
      </c>
      <c r="S46" s="372">
        <v>1</v>
      </c>
    </row>
    <row r="47" spans="1:19" ht="12.75">
      <c r="A47" s="369" t="s">
        <v>342</v>
      </c>
      <c r="B47" s="369" t="s">
        <v>2410</v>
      </c>
      <c r="C47" s="369" t="s">
        <v>433</v>
      </c>
      <c r="D47" s="372">
        <v>0</v>
      </c>
      <c r="E47" s="372">
        <v>0</v>
      </c>
      <c r="F47" s="372">
        <v>0</v>
      </c>
      <c r="G47" s="372">
        <v>0</v>
      </c>
      <c r="H47" s="372">
        <v>0</v>
      </c>
      <c r="I47" s="372">
        <v>0</v>
      </c>
      <c r="J47" s="372">
        <v>0</v>
      </c>
      <c r="K47" s="372">
        <v>0</v>
      </c>
      <c r="L47" s="372">
        <v>0</v>
      </c>
      <c r="M47" s="372">
        <v>0</v>
      </c>
      <c r="N47" s="372">
        <v>0</v>
      </c>
      <c r="O47" s="372">
        <v>0</v>
      </c>
      <c r="P47" s="372">
        <v>0</v>
      </c>
      <c r="Q47" s="372">
        <v>0</v>
      </c>
      <c r="R47" s="372">
        <v>0</v>
      </c>
      <c r="S47" s="372">
        <v>0</v>
      </c>
    </row>
    <row r="48" spans="1:19" ht="12.75">
      <c r="A48" s="369" t="s">
        <v>1794</v>
      </c>
      <c r="B48" s="369" t="s">
        <v>2310</v>
      </c>
      <c r="C48" s="369" t="s">
        <v>434</v>
      </c>
      <c r="D48" s="372">
        <v>0</v>
      </c>
      <c r="E48" s="372">
        <v>0</v>
      </c>
      <c r="F48" s="372">
        <v>0</v>
      </c>
      <c r="G48" s="372">
        <v>0</v>
      </c>
      <c r="H48" s="372">
        <v>0</v>
      </c>
      <c r="I48" s="372">
        <v>0</v>
      </c>
      <c r="J48" s="372">
        <v>0</v>
      </c>
      <c r="K48" s="372">
        <v>0</v>
      </c>
      <c r="L48" s="372">
        <v>0</v>
      </c>
      <c r="M48" s="372">
        <v>0</v>
      </c>
      <c r="N48" s="372">
        <v>0</v>
      </c>
      <c r="O48" s="372">
        <v>0</v>
      </c>
      <c r="P48" s="372">
        <v>0</v>
      </c>
      <c r="Q48" s="372">
        <v>0</v>
      </c>
      <c r="R48" s="372">
        <v>0</v>
      </c>
      <c r="S48" s="372">
        <v>0</v>
      </c>
    </row>
    <row r="49" spans="1:19" ht="12.75">
      <c r="A49" s="369" t="s">
        <v>50</v>
      </c>
      <c r="B49" s="369" t="s">
        <v>1863</v>
      </c>
      <c r="C49" s="369" t="s">
        <v>435</v>
      </c>
      <c r="D49" s="372">
        <v>0</v>
      </c>
      <c r="E49" s="372">
        <v>0</v>
      </c>
      <c r="F49" s="372">
        <v>0</v>
      </c>
      <c r="G49" s="372">
        <v>0</v>
      </c>
      <c r="H49" s="372">
        <v>0</v>
      </c>
      <c r="I49" s="372">
        <v>0</v>
      </c>
      <c r="J49" s="372">
        <v>0</v>
      </c>
      <c r="K49" s="372">
        <v>0</v>
      </c>
      <c r="L49" s="372">
        <v>0</v>
      </c>
      <c r="M49" s="372">
        <v>0</v>
      </c>
      <c r="N49" s="372">
        <v>0</v>
      </c>
      <c r="O49" s="372">
        <v>0</v>
      </c>
      <c r="P49" s="372">
        <v>0</v>
      </c>
      <c r="Q49" s="372">
        <v>0</v>
      </c>
      <c r="R49" s="372">
        <v>0</v>
      </c>
      <c r="S49" s="372">
        <v>0</v>
      </c>
    </row>
    <row r="50" spans="1:19" ht="12.75">
      <c r="A50" s="369" t="s">
        <v>1795</v>
      </c>
      <c r="B50" s="369" t="s">
        <v>1673</v>
      </c>
      <c r="C50" s="369" t="s">
        <v>436</v>
      </c>
      <c r="D50" s="372">
        <v>1</v>
      </c>
      <c r="E50" s="372">
        <v>1</v>
      </c>
      <c r="F50" s="372">
        <v>0</v>
      </c>
      <c r="G50" s="372">
        <v>0</v>
      </c>
      <c r="H50" s="372">
        <v>0</v>
      </c>
      <c r="I50" s="372">
        <v>0</v>
      </c>
      <c r="J50" s="372">
        <v>0</v>
      </c>
      <c r="K50" s="372">
        <v>0</v>
      </c>
      <c r="L50" s="372">
        <v>1</v>
      </c>
      <c r="M50" s="372">
        <v>0</v>
      </c>
      <c r="N50" s="372">
        <v>0</v>
      </c>
      <c r="O50" s="372">
        <v>0</v>
      </c>
      <c r="P50" s="372">
        <v>1</v>
      </c>
      <c r="Q50" s="372">
        <v>0</v>
      </c>
      <c r="R50" s="372">
        <v>0</v>
      </c>
      <c r="S50" s="372">
        <v>1</v>
      </c>
    </row>
    <row r="51" spans="1:19" ht="12.75">
      <c r="A51" s="369" t="s">
        <v>1806</v>
      </c>
      <c r="B51" s="369" t="s">
        <v>1674</v>
      </c>
      <c r="C51" s="369" t="s">
        <v>437</v>
      </c>
      <c r="D51" s="372">
        <v>0</v>
      </c>
      <c r="E51" s="372">
        <v>0</v>
      </c>
      <c r="F51" s="372">
        <v>0</v>
      </c>
      <c r="G51" s="372">
        <v>0</v>
      </c>
      <c r="H51" s="372">
        <v>0</v>
      </c>
      <c r="I51" s="372">
        <v>0</v>
      </c>
      <c r="J51" s="372">
        <v>0</v>
      </c>
      <c r="K51" s="372">
        <v>0</v>
      </c>
      <c r="L51" s="372">
        <v>0</v>
      </c>
      <c r="M51" s="372">
        <v>0</v>
      </c>
      <c r="N51" s="372">
        <v>0</v>
      </c>
      <c r="O51" s="372">
        <v>0</v>
      </c>
      <c r="P51" s="372">
        <v>0</v>
      </c>
      <c r="Q51" s="372">
        <v>0</v>
      </c>
      <c r="R51" s="372">
        <v>0</v>
      </c>
      <c r="S51" s="372">
        <v>0</v>
      </c>
    </row>
    <row r="52" spans="1:19" ht="12.75">
      <c r="A52" s="369" t="s">
        <v>1827</v>
      </c>
      <c r="B52" s="369" t="s">
        <v>343</v>
      </c>
      <c r="C52" s="369" t="s">
        <v>438</v>
      </c>
      <c r="D52" s="372">
        <v>0</v>
      </c>
      <c r="E52" s="372">
        <v>0</v>
      </c>
      <c r="F52" s="372">
        <v>0</v>
      </c>
      <c r="G52" s="372">
        <v>0</v>
      </c>
      <c r="H52" s="372">
        <v>0</v>
      </c>
      <c r="I52" s="372">
        <v>0</v>
      </c>
      <c r="J52" s="372">
        <v>0</v>
      </c>
      <c r="K52" s="372">
        <v>0</v>
      </c>
      <c r="L52" s="372">
        <v>0</v>
      </c>
      <c r="M52" s="372">
        <v>0</v>
      </c>
      <c r="N52" s="372">
        <v>0</v>
      </c>
      <c r="O52" s="372">
        <v>0</v>
      </c>
      <c r="P52" s="372">
        <v>0</v>
      </c>
      <c r="Q52" s="372">
        <v>0</v>
      </c>
      <c r="R52" s="372">
        <v>0</v>
      </c>
      <c r="S52" s="372">
        <v>0</v>
      </c>
    </row>
    <row r="53" spans="1:19" ht="12.75">
      <c r="A53" s="369" t="s">
        <v>1807</v>
      </c>
      <c r="B53" s="369" t="s">
        <v>1587</v>
      </c>
      <c r="C53" s="369" t="s">
        <v>439</v>
      </c>
      <c r="D53" s="372">
        <v>1</v>
      </c>
      <c r="E53" s="372">
        <v>0</v>
      </c>
      <c r="F53" s="372">
        <v>0</v>
      </c>
      <c r="G53" s="372">
        <v>0</v>
      </c>
      <c r="H53" s="372">
        <v>0</v>
      </c>
      <c r="I53" s="372">
        <v>0</v>
      </c>
      <c r="J53" s="372">
        <v>0</v>
      </c>
      <c r="K53" s="372">
        <v>0</v>
      </c>
      <c r="L53" s="372">
        <v>0</v>
      </c>
      <c r="M53" s="372">
        <v>0</v>
      </c>
      <c r="N53" s="372">
        <v>1</v>
      </c>
      <c r="O53" s="372">
        <v>0</v>
      </c>
      <c r="P53" s="372">
        <v>0</v>
      </c>
      <c r="Q53" s="372">
        <v>0</v>
      </c>
      <c r="R53" s="372">
        <v>0</v>
      </c>
      <c r="S53" s="372">
        <v>0</v>
      </c>
    </row>
    <row r="54" spans="1:19" ht="12.75">
      <c r="A54" s="369" t="s">
        <v>1287</v>
      </c>
      <c r="B54" s="369" t="s">
        <v>1828</v>
      </c>
      <c r="C54" s="369" t="s">
        <v>440</v>
      </c>
      <c r="D54" s="372">
        <v>0</v>
      </c>
      <c r="E54" s="372">
        <v>0</v>
      </c>
      <c r="F54" s="372">
        <v>0</v>
      </c>
      <c r="G54" s="372">
        <v>0</v>
      </c>
      <c r="H54" s="372">
        <v>0</v>
      </c>
      <c r="I54" s="372">
        <v>0</v>
      </c>
      <c r="J54" s="372">
        <v>0</v>
      </c>
      <c r="K54" s="372">
        <v>0</v>
      </c>
      <c r="L54" s="372">
        <v>0</v>
      </c>
      <c r="M54" s="372">
        <v>0</v>
      </c>
      <c r="N54" s="372">
        <v>0</v>
      </c>
      <c r="O54" s="372">
        <v>0</v>
      </c>
      <c r="P54" s="372">
        <v>0</v>
      </c>
      <c r="Q54" s="372">
        <v>0</v>
      </c>
      <c r="R54" s="372">
        <v>0</v>
      </c>
      <c r="S54" s="372">
        <v>0</v>
      </c>
    </row>
    <row r="55" spans="1:19" ht="12.75">
      <c r="A55" s="369" t="s">
        <v>1808</v>
      </c>
      <c r="B55" s="369" t="s">
        <v>1675</v>
      </c>
      <c r="C55" s="369" t="s">
        <v>441</v>
      </c>
      <c r="D55" s="372">
        <v>0</v>
      </c>
      <c r="E55" s="372">
        <v>0</v>
      </c>
      <c r="F55" s="372">
        <v>0</v>
      </c>
      <c r="G55" s="372">
        <v>1</v>
      </c>
      <c r="H55" s="372">
        <v>0</v>
      </c>
      <c r="I55" s="372">
        <v>0</v>
      </c>
      <c r="J55" s="372">
        <v>0</v>
      </c>
      <c r="K55" s="372">
        <v>0</v>
      </c>
      <c r="L55" s="372">
        <v>1</v>
      </c>
      <c r="M55" s="372">
        <v>0</v>
      </c>
      <c r="N55" s="372">
        <v>1</v>
      </c>
      <c r="O55" s="372">
        <v>0</v>
      </c>
      <c r="P55" s="372">
        <v>1</v>
      </c>
      <c r="Q55" s="372">
        <v>0</v>
      </c>
      <c r="R55" s="372">
        <v>0</v>
      </c>
      <c r="S55" s="372">
        <v>0</v>
      </c>
    </row>
    <row r="56" spans="1:19" ht="12.75">
      <c r="A56" s="369" t="s">
        <v>1382</v>
      </c>
      <c r="B56" s="369" t="s">
        <v>1692</v>
      </c>
      <c r="C56" s="369" t="s">
        <v>442</v>
      </c>
      <c r="D56" s="372">
        <v>0</v>
      </c>
      <c r="E56" s="372">
        <v>0</v>
      </c>
      <c r="F56" s="372">
        <v>0</v>
      </c>
      <c r="G56" s="372">
        <v>0</v>
      </c>
      <c r="H56" s="372">
        <v>0</v>
      </c>
      <c r="I56" s="372">
        <v>0</v>
      </c>
      <c r="J56" s="372">
        <v>0</v>
      </c>
      <c r="K56" s="372">
        <v>0</v>
      </c>
      <c r="L56" s="372">
        <v>0</v>
      </c>
      <c r="M56" s="372">
        <v>0</v>
      </c>
      <c r="N56" s="372">
        <v>0</v>
      </c>
      <c r="O56" s="372">
        <v>0</v>
      </c>
      <c r="P56" s="372">
        <v>0</v>
      </c>
      <c r="Q56" s="372">
        <v>0</v>
      </c>
      <c r="R56" s="372">
        <v>0</v>
      </c>
      <c r="S56" s="372">
        <v>0</v>
      </c>
    </row>
    <row r="57" spans="1:19" ht="12.75">
      <c r="A57" s="369" t="s">
        <v>1384</v>
      </c>
      <c r="B57" s="369" t="s">
        <v>1383</v>
      </c>
      <c r="C57" s="369" t="s">
        <v>443</v>
      </c>
      <c r="D57" s="372">
        <v>0</v>
      </c>
      <c r="E57" s="372">
        <v>0</v>
      </c>
      <c r="F57" s="372">
        <v>0</v>
      </c>
      <c r="G57" s="372">
        <v>0</v>
      </c>
      <c r="H57" s="372">
        <v>0</v>
      </c>
      <c r="I57" s="372">
        <v>0</v>
      </c>
      <c r="J57" s="372">
        <v>0</v>
      </c>
      <c r="K57" s="372">
        <v>0</v>
      </c>
      <c r="L57" s="372">
        <v>0</v>
      </c>
      <c r="M57" s="372">
        <v>0</v>
      </c>
      <c r="N57" s="372">
        <v>0</v>
      </c>
      <c r="O57" s="372">
        <v>0</v>
      </c>
      <c r="P57" s="372">
        <v>0</v>
      </c>
      <c r="Q57" s="372">
        <v>0</v>
      </c>
      <c r="R57" s="372">
        <v>0</v>
      </c>
      <c r="S57" s="372">
        <v>0</v>
      </c>
    </row>
    <row r="58" spans="1:19" ht="12.75">
      <c r="A58" s="369" t="s">
        <v>1809</v>
      </c>
      <c r="B58" s="369" t="s">
        <v>1676</v>
      </c>
      <c r="C58" s="369" t="s">
        <v>444</v>
      </c>
      <c r="D58" s="372">
        <v>1</v>
      </c>
      <c r="E58" s="372">
        <v>1</v>
      </c>
      <c r="F58" s="372">
        <v>0</v>
      </c>
      <c r="G58" s="372">
        <v>1</v>
      </c>
      <c r="H58" s="372">
        <v>1</v>
      </c>
      <c r="I58" s="372">
        <v>1</v>
      </c>
      <c r="J58" s="372">
        <v>1</v>
      </c>
      <c r="K58" s="372">
        <v>0</v>
      </c>
      <c r="L58" s="372">
        <v>0</v>
      </c>
      <c r="M58" s="372">
        <v>1</v>
      </c>
      <c r="N58" s="372">
        <v>0</v>
      </c>
      <c r="O58" s="372">
        <v>1</v>
      </c>
      <c r="P58" s="372">
        <v>1</v>
      </c>
      <c r="Q58" s="372">
        <v>0</v>
      </c>
      <c r="R58" s="372">
        <v>1</v>
      </c>
      <c r="S58" s="372">
        <v>0</v>
      </c>
    </row>
    <row r="59" spans="1:19" ht="12.75">
      <c r="A59" s="369" t="s">
        <v>1810</v>
      </c>
      <c r="B59" s="369" t="s">
        <v>2315</v>
      </c>
      <c r="C59" s="369" t="s">
        <v>445</v>
      </c>
      <c r="D59" s="372">
        <v>0</v>
      </c>
      <c r="E59" s="372">
        <v>0</v>
      </c>
      <c r="F59" s="372">
        <v>0</v>
      </c>
      <c r="G59" s="372">
        <v>0</v>
      </c>
      <c r="H59" s="372">
        <v>0</v>
      </c>
      <c r="I59" s="372">
        <v>0</v>
      </c>
      <c r="J59" s="372">
        <v>0</v>
      </c>
      <c r="K59" s="372">
        <v>0</v>
      </c>
      <c r="L59" s="372">
        <v>0</v>
      </c>
      <c r="M59" s="372">
        <v>0</v>
      </c>
      <c r="N59" s="372">
        <v>0</v>
      </c>
      <c r="O59" s="372">
        <v>0</v>
      </c>
      <c r="P59" s="372">
        <v>0</v>
      </c>
      <c r="Q59" s="372">
        <v>0</v>
      </c>
      <c r="R59" s="372">
        <v>0</v>
      </c>
      <c r="S59" s="372">
        <v>0</v>
      </c>
    </row>
    <row r="60" spans="1:19" ht="12.75">
      <c r="A60" s="369" t="s">
        <v>2032</v>
      </c>
      <c r="B60" s="369" t="s">
        <v>1677</v>
      </c>
      <c r="C60" s="369" t="s">
        <v>446</v>
      </c>
      <c r="D60" s="372">
        <v>0</v>
      </c>
      <c r="E60" s="372">
        <v>0</v>
      </c>
      <c r="F60" s="372">
        <v>0</v>
      </c>
      <c r="G60" s="372">
        <v>0</v>
      </c>
      <c r="H60" s="372">
        <v>0</v>
      </c>
      <c r="I60" s="372">
        <v>0</v>
      </c>
      <c r="J60" s="372">
        <v>0</v>
      </c>
      <c r="K60" s="372">
        <v>0</v>
      </c>
      <c r="L60" s="372">
        <v>0</v>
      </c>
      <c r="M60" s="372">
        <v>0</v>
      </c>
      <c r="N60" s="372">
        <v>0</v>
      </c>
      <c r="O60" s="372">
        <v>0</v>
      </c>
      <c r="P60" s="372">
        <v>0</v>
      </c>
      <c r="Q60" s="372">
        <v>0</v>
      </c>
      <c r="R60" s="372">
        <v>0</v>
      </c>
      <c r="S60" s="372">
        <v>0</v>
      </c>
    </row>
    <row r="61" spans="1:19" ht="12.75">
      <c r="A61" s="369" t="s">
        <v>2033</v>
      </c>
      <c r="B61" s="369" t="s">
        <v>1330</v>
      </c>
      <c r="C61" s="369" t="s">
        <v>447</v>
      </c>
      <c r="D61" s="372">
        <v>0</v>
      </c>
      <c r="E61" s="372">
        <v>0</v>
      </c>
      <c r="F61" s="372">
        <v>0</v>
      </c>
      <c r="G61" s="372">
        <v>0</v>
      </c>
      <c r="H61" s="372">
        <v>0</v>
      </c>
      <c r="I61" s="372">
        <v>0</v>
      </c>
      <c r="J61" s="372">
        <v>0</v>
      </c>
      <c r="K61" s="372">
        <v>0</v>
      </c>
      <c r="L61" s="372">
        <v>0</v>
      </c>
      <c r="M61" s="372">
        <v>0</v>
      </c>
      <c r="N61" s="372">
        <v>0</v>
      </c>
      <c r="O61" s="372">
        <v>0</v>
      </c>
      <c r="P61" s="372">
        <v>0</v>
      </c>
      <c r="Q61" s="372">
        <v>0</v>
      </c>
      <c r="R61" s="372">
        <v>0</v>
      </c>
      <c r="S61" s="372">
        <v>0</v>
      </c>
    </row>
    <row r="62" spans="1:19" ht="12.75">
      <c r="A62" s="369" t="s">
        <v>2034</v>
      </c>
      <c r="B62" s="369" t="s">
        <v>1678</v>
      </c>
      <c r="C62" s="369" t="s">
        <v>448</v>
      </c>
      <c r="D62" s="372">
        <v>0</v>
      </c>
      <c r="E62" s="372">
        <v>0</v>
      </c>
      <c r="F62" s="372">
        <v>0</v>
      </c>
      <c r="G62" s="372">
        <v>0</v>
      </c>
      <c r="H62" s="372">
        <v>0</v>
      </c>
      <c r="I62" s="372">
        <v>0</v>
      </c>
      <c r="J62" s="372">
        <v>0</v>
      </c>
      <c r="K62" s="372">
        <v>0</v>
      </c>
      <c r="L62" s="372">
        <v>0</v>
      </c>
      <c r="M62" s="372">
        <v>0</v>
      </c>
      <c r="N62" s="372">
        <v>0</v>
      </c>
      <c r="O62" s="372">
        <v>0</v>
      </c>
      <c r="P62" s="372">
        <v>0</v>
      </c>
      <c r="Q62" s="372">
        <v>0</v>
      </c>
      <c r="R62" s="372">
        <v>0</v>
      </c>
      <c r="S62" s="372">
        <v>0</v>
      </c>
    </row>
    <row r="63" spans="1:19" ht="12.75">
      <c r="A63" s="369" t="s">
        <v>1386</v>
      </c>
      <c r="B63" s="369" t="s">
        <v>1385</v>
      </c>
      <c r="C63" s="369" t="s">
        <v>449</v>
      </c>
      <c r="D63" s="372">
        <v>0</v>
      </c>
      <c r="E63" s="372">
        <v>0</v>
      </c>
      <c r="F63" s="372">
        <v>0</v>
      </c>
      <c r="G63" s="372">
        <v>0</v>
      </c>
      <c r="H63" s="372">
        <v>0</v>
      </c>
      <c r="I63" s="372">
        <v>0</v>
      </c>
      <c r="J63" s="372">
        <v>0</v>
      </c>
      <c r="K63" s="372">
        <v>0</v>
      </c>
      <c r="L63" s="372">
        <v>0</v>
      </c>
      <c r="M63" s="372">
        <v>0</v>
      </c>
      <c r="N63" s="372">
        <v>0</v>
      </c>
      <c r="O63" s="372">
        <v>0</v>
      </c>
      <c r="P63" s="372">
        <v>0</v>
      </c>
      <c r="Q63" s="372">
        <v>0</v>
      </c>
      <c r="R63" s="372">
        <v>0</v>
      </c>
      <c r="S63" s="372">
        <v>0</v>
      </c>
    </row>
    <row r="64" spans="1:19" ht="12.75">
      <c r="A64" s="369" t="s">
        <v>1565</v>
      </c>
      <c r="B64" s="369" t="s">
        <v>1679</v>
      </c>
      <c r="C64" s="369" t="s">
        <v>450</v>
      </c>
      <c r="D64" s="372">
        <v>0</v>
      </c>
      <c r="E64" s="372">
        <v>0</v>
      </c>
      <c r="F64" s="372">
        <v>0</v>
      </c>
      <c r="G64" s="372">
        <v>0</v>
      </c>
      <c r="H64" s="372">
        <v>1</v>
      </c>
      <c r="I64" s="372">
        <v>0</v>
      </c>
      <c r="J64" s="372">
        <v>1</v>
      </c>
      <c r="K64" s="372">
        <v>1</v>
      </c>
      <c r="L64" s="372">
        <v>1</v>
      </c>
      <c r="M64" s="372">
        <v>0</v>
      </c>
      <c r="N64" s="372">
        <v>0</v>
      </c>
      <c r="O64" s="372">
        <v>1</v>
      </c>
      <c r="P64" s="372">
        <v>1</v>
      </c>
      <c r="Q64" s="372">
        <v>0</v>
      </c>
      <c r="R64" s="372">
        <v>0</v>
      </c>
      <c r="S64" s="372">
        <v>0</v>
      </c>
    </row>
    <row r="65" spans="1:19" ht="12.75">
      <c r="A65" s="369" t="s">
        <v>165</v>
      </c>
      <c r="B65" s="369" t="s">
        <v>1680</v>
      </c>
      <c r="C65" s="369" t="s">
        <v>451</v>
      </c>
      <c r="D65" s="372">
        <v>0</v>
      </c>
      <c r="E65" s="372">
        <v>0</v>
      </c>
      <c r="F65" s="372">
        <v>0</v>
      </c>
      <c r="G65" s="372">
        <v>1</v>
      </c>
      <c r="H65" s="372">
        <v>1</v>
      </c>
      <c r="I65" s="372">
        <v>0</v>
      </c>
      <c r="J65" s="372">
        <v>1</v>
      </c>
      <c r="K65" s="372">
        <v>0</v>
      </c>
      <c r="L65" s="372">
        <v>1</v>
      </c>
      <c r="M65" s="372">
        <v>0</v>
      </c>
      <c r="N65" s="372">
        <v>0</v>
      </c>
      <c r="O65" s="372">
        <v>1</v>
      </c>
      <c r="P65" s="372">
        <v>1</v>
      </c>
      <c r="Q65" s="372">
        <v>1</v>
      </c>
      <c r="R65" s="372">
        <v>0</v>
      </c>
      <c r="S65" s="372">
        <v>0</v>
      </c>
    </row>
    <row r="66" spans="1:19" ht="12.75">
      <c r="A66" s="369" t="s">
        <v>1566</v>
      </c>
      <c r="B66" s="369" t="s">
        <v>1681</v>
      </c>
      <c r="C66" s="369" t="s">
        <v>452</v>
      </c>
      <c r="D66" s="372">
        <v>0</v>
      </c>
      <c r="E66" s="372">
        <v>0</v>
      </c>
      <c r="F66" s="372">
        <v>0</v>
      </c>
      <c r="G66" s="372">
        <v>0</v>
      </c>
      <c r="H66" s="372">
        <v>0</v>
      </c>
      <c r="I66" s="372">
        <v>0</v>
      </c>
      <c r="J66" s="372">
        <v>0</v>
      </c>
      <c r="K66" s="372">
        <v>0</v>
      </c>
      <c r="L66" s="372">
        <v>1</v>
      </c>
      <c r="M66" s="372">
        <v>0</v>
      </c>
      <c r="N66" s="372">
        <v>0</v>
      </c>
      <c r="O66" s="372">
        <v>0</v>
      </c>
      <c r="P66" s="372">
        <v>0</v>
      </c>
      <c r="Q66" s="372">
        <v>0</v>
      </c>
      <c r="R66" s="372">
        <v>0</v>
      </c>
      <c r="S66" s="372">
        <v>0</v>
      </c>
    </row>
    <row r="67" spans="1:19" ht="12.75">
      <c r="A67" s="369" t="s">
        <v>1388</v>
      </c>
      <c r="B67" s="369" t="s">
        <v>1387</v>
      </c>
      <c r="C67" s="369" t="s">
        <v>453</v>
      </c>
      <c r="D67" s="372">
        <v>0</v>
      </c>
      <c r="E67" s="372">
        <v>0</v>
      </c>
      <c r="F67" s="372">
        <v>0</v>
      </c>
      <c r="G67" s="372">
        <v>0</v>
      </c>
      <c r="H67" s="372">
        <v>0</v>
      </c>
      <c r="I67" s="372">
        <v>0</v>
      </c>
      <c r="J67" s="372">
        <v>0</v>
      </c>
      <c r="K67" s="372">
        <v>0</v>
      </c>
      <c r="L67" s="372">
        <v>0</v>
      </c>
      <c r="M67" s="372">
        <v>0</v>
      </c>
      <c r="N67" s="372">
        <v>0</v>
      </c>
      <c r="O67" s="372">
        <v>0</v>
      </c>
      <c r="P67" s="372">
        <v>0</v>
      </c>
      <c r="Q67" s="372">
        <v>0</v>
      </c>
      <c r="R67" s="372">
        <v>0</v>
      </c>
      <c r="S67" s="372">
        <v>0</v>
      </c>
    </row>
    <row r="68" spans="1:19" ht="12.75">
      <c r="A68" s="369" t="s">
        <v>58</v>
      </c>
      <c r="B68" s="369" t="s">
        <v>2450</v>
      </c>
      <c r="C68" s="369" t="s">
        <v>454</v>
      </c>
      <c r="D68" s="372">
        <v>0</v>
      </c>
      <c r="E68" s="372">
        <v>0</v>
      </c>
      <c r="F68" s="372">
        <v>0</v>
      </c>
      <c r="G68" s="372">
        <v>0</v>
      </c>
      <c r="H68" s="372">
        <v>0</v>
      </c>
      <c r="I68" s="372">
        <v>0</v>
      </c>
      <c r="J68" s="372">
        <v>0</v>
      </c>
      <c r="K68" s="372">
        <v>1</v>
      </c>
      <c r="L68" s="372">
        <v>0</v>
      </c>
      <c r="M68" s="372">
        <v>1</v>
      </c>
      <c r="N68" s="372">
        <v>0</v>
      </c>
      <c r="O68" s="372">
        <v>0</v>
      </c>
      <c r="P68" s="372">
        <v>1</v>
      </c>
      <c r="Q68" s="372">
        <v>0</v>
      </c>
      <c r="R68" s="372">
        <v>0</v>
      </c>
      <c r="S68" s="372">
        <v>0</v>
      </c>
    </row>
    <row r="69" spans="1:19" ht="12.75">
      <c r="A69" s="369" t="s">
        <v>59</v>
      </c>
      <c r="B69" s="369" t="s">
        <v>2451</v>
      </c>
      <c r="C69" s="369" t="s">
        <v>455</v>
      </c>
      <c r="D69" s="372">
        <v>0</v>
      </c>
      <c r="E69" s="372">
        <v>0</v>
      </c>
      <c r="F69" s="372">
        <v>0</v>
      </c>
      <c r="G69" s="372">
        <v>0</v>
      </c>
      <c r="H69" s="372">
        <v>0</v>
      </c>
      <c r="I69" s="372">
        <v>0</v>
      </c>
      <c r="J69" s="372">
        <v>0</v>
      </c>
      <c r="K69" s="372">
        <v>0</v>
      </c>
      <c r="L69" s="372">
        <v>0</v>
      </c>
      <c r="M69" s="372">
        <v>0</v>
      </c>
      <c r="N69" s="372">
        <v>0</v>
      </c>
      <c r="O69" s="372">
        <v>0</v>
      </c>
      <c r="P69" s="372">
        <v>0</v>
      </c>
      <c r="Q69" s="372">
        <v>0</v>
      </c>
      <c r="R69" s="372">
        <v>0</v>
      </c>
      <c r="S69" s="372">
        <v>0</v>
      </c>
    </row>
    <row r="70" spans="1:19" ht="12.75">
      <c r="A70" s="369" t="s">
        <v>60</v>
      </c>
      <c r="B70" s="369" t="s">
        <v>2437</v>
      </c>
      <c r="C70" s="369" t="s">
        <v>456</v>
      </c>
      <c r="D70" s="372">
        <v>0</v>
      </c>
      <c r="E70" s="372">
        <v>0</v>
      </c>
      <c r="F70" s="372">
        <v>0</v>
      </c>
      <c r="G70" s="372">
        <v>0</v>
      </c>
      <c r="H70" s="372">
        <v>0</v>
      </c>
      <c r="I70" s="372">
        <v>0</v>
      </c>
      <c r="J70" s="372">
        <v>0</v>
      </c>
      <c r="K70" s="372">
        <v>0</v>
      </c>
      <c r="L70" s="372">
        <v>0</v>
      </c>
      <c r="M70" s="372">
        <v>0</v>
      </c>
      <c r="N70" s="372">
        <v>0</v>
      </c>
      <c r="O70" s="372">
        <v>0</v>
      </c>
      <c r="P70" s="372">
        <v>0</v>
      </c>
      <c r="Q70" s="372">
        <v>0</v>
      </c>
      <c r="R70" s="372">
        <v>0</v>
      </c>
      <c r="S70" s="372">
        <v>0</v>
      </c>
    </row>
    <row r="71" spans="1:19" ht="12.75">
      <c r="A71" s="369" t="s">
        <v>61</v>
      </c>
      <c r="B71" s="369" t="s">
        <v>1403</v>
      </c>
      <c r="C71" s="369" t="s">
        <v>457</v>
      </c>
      <c r="D71" s="372">
        <v>1</v>
      </c>
      <c r="E71" s="372">
        <v>1</v>
      </c>
      <c r="F71" s="372">
        <v>1</v>
      </c>
      <c r="G71" s="372">
        <v>0</v>
      </c>
      <c r="H71" s="372">
        <v>0</v>
      </c>
      <c r="I71" s="372">
        <v>1</v>
      </c>
      <c r="J71" s="372">
        <v>1</v>
      </c>
      <c r="K71" s="372">
        <v>0</v>
      </c>
      <c r="L71" s="372">
        <v>0</v>
      </c>
      <c r="M71" s="372">
        <v>0</v>
      </c>
      <c r="N71" s="372">
        <v>1</v>
      </c>
      <c r="O71" s="372">
        <v>0</v>
      </c>
      <c r="P71" s="372">
        <v>0</v>
      </c>
      <c r="Q71" s="372">
        <v>0</v>
      </c>
      <c r="R71" s="372">
        <v>0</v>
      </c>
      <c r="S71" s="372">
        <v>0</v>
      </c>
    </row>
    <row r="72" spans="1:19" ht="12.75">
      <c r="A72" s="369" t="s">
        <v>2243</v>
      </c>
      <c r="B72" s="369" t="s">
        <v>2351</v>
      </c>
      <c r="C72" s="369" t="s">
        <v>458</v>
      </c>
      <c r="D72" s="372">
        <v>0</v>
      </c>
      <c r="E72" s="372">
        <v>1</v>
      </c>
      <c r="F72" s="372">
        <v>0</v>
      </c>
      <c r="G72" s="372">
        <v>1</v>
      </c>
      <c r="H72" s="372">
        <v>0</v>
      </c>
      <c r="I72" s="372">
        <v>0</v>
      </c>
      <c r="J72" s="372">
        <v>0</v>
      </c>
      <c r="K72" s="372">
        <v>0</v>
      </c>
      <c r="L72" s="372">
        <v>1</v>
      </c>
      <c r="M72" s="372">
        <v>0</v>
      </c>
      <c r="N72" s="372">
        <v>1</v>
      </c>
      <c r="O72" s="372">
        <v>0</v>
      </c>
      <c r="P72" s="372">
        <v>1</v>
      </c>
      <c r="Q72" s="372">
        <v>0</v>
      </c>
      <c r="R72" s="372">
        <v>0</v>
      </c>
      <c r="S72" s="372">
        <v>0</v>
      </c>
    </row>
    <row r="73" spans="1:19" ht="12.75">
      <c r="A73" s="369" t="s">
        <v>1394</v>
      </c>
      <c r="B73" s="369" t="s">
        <v>1393</v>
      </c>
      <c r="C73" s="369"/>
      <c r="D73" s="372">
        <v>0</v>
      </c>
      <c r="E73" s="372">
        <v>0</v>
      </c>
      <c r="F73" s="372">
        <v>0</v>
      </c>
      <c r="G73" s="372">
        <v>0</v>
      </c>
      <c r="H73" s="372">
        <v>0</v>
      </c>
      <c r="I73" s="372">
        <v>0</v>
      </c>
      <c r="J73" s="372">
        <v>0</v>
      </c>
      <c r="K73" s="372">
        <v>0</v>
      </c>
      <c r="L73" s="372">
        <v>0</v>
      </c>
      <c r="M73" s="372">
        <v>0</v>
      </c>
      <c r="N73" s="372">
        <v>0</v>
      </c>
      <c r="O73" s="372">
        <v>0</v>
      </c>
      <c r="P73" s="372">
        <v>0</v>
      </c>
      <c r="Q73" s="372">
        <v>0</v>
      </c>
      <c r="R73" s="372">
        <v>0</v>
      </c>
      <c r="S73" s="372">
        <v>0</v>
      </c>
    </row>
    <row r="74" spans="1:19" ht="12.75">
      <c r="A74" s="369" t="s">
        <v>1494</v>
      </c>
      <c r="B74" s="369" t="s">
        <v>1495</v>
      </c>
      <c r="C74" s="369" t="s">
        <v>459</v>
      </c>
      <c r="D74" s="372">
        <v>0</v>
      </c>
      <c r="E74" s="372">
        <v>0</v>
      </c>
      <c r="F74" s="372">
        <v>0</v>
      </c>
      <c r="G74" s="372">
        <v>0</v>
      </c>
      <c r="H74" s="372">
        <v>0</v>
      </c>
      <c r="I74" s="372">
        <v>0</v>
      </c>
      <c r="J74" s="372">
        <v>0</v>
      </c>
      <c r="K74" s="372">
        <v>0</v>
      </c>
      <c r="L74" s="372">
        <v>0</v>
      </c>
      <c r="M74" s="372">
        <v>0</v>
      </c>
      <c r="N74" s="372">
        <v>0</v>
      </c>
      <c r="O74" s="372">
        <v>0</v>
      </c>
      <c r="P74" s="372">
        <v>0</v>
      </c>
      <c r="Q74" s="372">
        <v>0</v>
      </c>
      <c r="R74" s="372">
        <v>0</v>
      </c>
      <c r="S74" s="372">
        <v>0</v>
      </c>
    </row>
    <row r="75" spans="1:19" ht="12.75">
      <c r="A75" s="369" t="s">
        <v>2049</v>
      </c>
      <c r="B75" s="369" t="s">
        <v>1395</v>
      </c>
      <c r="C75" s="369" t="s">
        <v>460</v>
      </c>
      <c r="D75" s="372">
        <v>0</v>
      </c>
      <c r="E75" s="372">
        <v>0</v>
      </c>
      <c r="F75" s="372">
        <v>0</v>
      </c>
      <c r="G75" s="372">
        <v>0</v>
      </c>
      <c r="H75" s="372">
        <v>0</v>
      </c>
      <c r="I75" s="372">
        <v>0</v>
      </c>
      <c r="J75" s="372">
        <v>0</v>
      </c>
      <c r="K75" s="372">
        <v>0</v>
      </c>
      <c r="L75" s="372">
        <v>0</v>
      </c>
      <c r="M75" s="372">
        <v>0</v>
      </c>
      <c r="N75" s="372">
        <v>0</v>
      </c>
      <c r="O75" s="372">
        <v>0</v>
      </c>
      <c r="P75" s="372">
        <v>0</v>
      </c>
      <c r="Q75" s="372">
        <v>0</v>
      </c>
      <c r="R75" s="372">
        <v>0</v>
      </c>
      <c r="S75" s="372">
        <v>0</v>
      </c>
    </row>
    <row r="76" spans="1:19" ht="12.75">
      <c r="A76" s="369" t="s">
        <v>1899</v>
      </c>
      <c r="B76" s="369" t="s">
        <v>1315</v>
      </c>
      <c r="C76" s="369" t="s">
        <v>461</v>
      </c>
      <c r="D76" s="372">
        <v>0</v>
      </c>
      <c r="E76" s="372">
        <v>1</v>
      </c>
      <c r="F76" s="372">
        <v>0</v>
      </c>
      <c r="G76" s="372">
        <v>0</v>
      </c>
      <c r="H76" s="372">
        <v>0</v>
      </c>
      <c r="I76" s="372">
        <v>0</v>
      </c>
      <c r="J76" s="372">
        <v>0</v>
      </c>
      <c r="K76" s="372">
        <v>0</v>
      </c>
      <c r="L76" s="372">
        <v>0</v>
      </c>
      <c r="M76" s="372">
        <v>0</v>
      </c>
      <c r="N76" s="372">
        <v>0</v>
      </c>
      <c r="O76" s="372">
        <v>0</v>
      </c>
      <c r="P76" s="372">
        <v>0</v>
      </c>
      <c r="Q76" s="372">
        <v>0</v>
      </c>
      <c r="R76" s="372">
        <v>0</v>
      </c>
      <c r="S76" s="372">
        <v>0</v>
      </c>
    </row>
    <row r="77" spans="1:19" ht="12.75">
      <c r="A77" s="369" t="s">
        <v>1610</v>
      </c>
      <c r="B77" s="369" t="s">
        <v>2050</v>
      </c>
      <c r="C77" s="369" t="s">
        <v>462</v>
      </c>
      <c r="D77" s="372">
        <v>0</v>
      </c>
      <c r="E77" s="372">
        <v>0</v>
      </c>
      <c r="F77" s="372">
        <v>0</v>
      </c>
      <c r="G77" s="372">
        <v>0</v>
      </c>
      <c r="H77" s="372">
        <v>0</v>
      </c>
      <c r="I77" s="372">
        <v>0</v>
      </c>
      <c r="J77" s="372">
        <v>0</v>
      </c>
      <c r="K77" s="372">
        <v>0</v>
      </c>
      <c r="L77" s="372">
        <v>0</v>
      </c>
      <c r="M77" s="372">
        <v>0</v>
      </c>
      <c r="N77" s="372">
        <v>0</v>
      </c>
      <c r="O77" s="372">
        <v>0</v>
      </c>
      <c r="P77" s="372">
        <v>0</v>
      </c>
      <c r="Q77" s="372">
        <v>0</v>
      </c>
      <c r="R77" s="372">
        <v>0</v>
      </c>
      <c r="S77" s="372">
        <v>0</v>
      </c>
    </row>
    <row r="78" spans="1:19" ht="12.75">
      <c r="A78" s="369" t="s">
        <v>2177</v>
      </c>
      <c r="B78" s="369" t="s">
        <v>1611</v>
      </c>
      <c r="C78" s="369" t="s">
        <v>463</v>
      </c>
      <c r="D78" s="372">
        <v>0</v>
      </c>
      <c r="E78" s="372">
        <v>0</v>
      </c>
      <c r="F78" s="372">
        <v>0</v>
      </c>
      <c r="G78" s="372">
        <v>0</v>
      </c>
      <c r="H78" s="372">
        <v>0</v>
      </c>
      <c r="I78" s="372">
        <v>0</v>
      </c>
      <c r="J78" s="372">
        <v>0</v>
      </c>
      <c r="K78" s="372">
        <v>0</v>
      </c>
      <c r="L78" s="372">
        <v>0</v>
      </c>
      <c r="M78" s="372">
        <v>0</v>
      </c>
      <c r="N78" s="372">
        <v>0</v>
      </c>
      <c r="O78" s="372">
        <v>0</v>
      </c>
      <c r="P78" s="372">
        <v>0</v>
      </c>
      <c r="Q78" s="372">
        <v>0</v>
      </c>
      <c r="R78" s="372">
        <v>0</v>
      </c>
      <c r="S78" s="372">
        <v>0</v>
      </c>
    </row>
    <row r="79" spans="1:19" ht="12.75">
      <c r="A79" s="369" t="s">
        <v>1900</v>
      </c>
      <c r="B79" s="369" t="s">
        <v>2405</v>
      </c>
      <c r="C79" s="369" t="s">
        <v>464</v>
      </c>
      <c r="D79" s="372">
        <v>0</v>
      </c>
      <c r="E79" s="372">
        <v>1</v>
      </c>
      <c r="F79" s="372">
        <v>0</v>
      </c>
      <c r="G79" s="372">
        <v>1</v>
      </c>
      <c r="H79" s="372">
        <v>0</v>
      </c>
      <c r="I79" s="372">
        <v>0</v>
      </c>
      <c r="J79" s="372">
        <v>0</v>
      </c>
      <c r="K79" s="372">
        <v>1</v>
      </c>
      <c r="L79" s="372">
        <v>1</v>
      </c>
      <c r="M79" s="372">
        <v>0</v>
      </c>
      <c r="N79" s="372">
        <v>0</v>
      </c>
      <c r="O79" s="372">
        <v>0</v>
      </c>
      <c r="P79" s="372">
        <v>0</v>
      </c>
      <c r="Q79" s="372">
        <v>0</v>
      </c>
      <c r="R79" s="372">
        <v>0</v>
      </c>
      <c r="S79" s="372">
        <v>0</v>
      </c>
    </row>
    <row r="80" spans="1:19" ht="12.75">
      <c r="A80" s="369" t="s">
        <v>131</v>
      </c>
      <c r="B80" s="369" t="s">
        <v>2406</v>
      </c>
      <c r="C80" s="369" t="s">
        <v>465</v>
      </c>
      <c r="D80" s="372">
        <v>0</v>
      </c>
      <c r="E80" s="372">
        <v>0</v>
      </c>
      <c r="F80" s="372">
        <v>0</v>
      </c>
      <c r="G80" s="372">
        <v>0</v>
      </c>
      <c r="H80" s="372">
        <v>0</v>
      </c>
      <c r="I80" s="372">
        <v>0</v>
      </c>
      <c r="J80" s="372">
        <v>0</v>
      </c>
      <c r="K80" s="372">
        <v>0</v>
      </c>
      <c r="L80" s="372">
        <v>0</v>
      </c>
      <c r="M80" s="372">
        <v>0</v>
      </c>
      <c r="N80" s="372">
        <v>0</v>
      </c>
      <c r="O80" s="372">
        <v>0</v>
      </c>
      <c r="P80" s="372">
        <v>0</v>
      </c>
      <c r="Q80" s="372">
        <v>1</v>
      </c>
      <c r="R80" s="372">
        <v>0</v>
      </c>
      <c r="S80" s="372">
        <v>1</v>
      </c>
    </row>
    <row r="81" spans="1:19" ht="12.75">
      <c r="A81" s="369" t="s">
        <v>2179</v>
      </c>
      <c r="B81" s="369" t="s">
        <v>2178</v>
      </c>
      <c r="C81" s="369" t="s">
        <v>466</v>
      </c>
      <c r="D81" s="372">
        <v>0</v>
      </c>
      <c r="E81" s="372">
        <v>0</v>
      </c>
      <c r="F81" s="372">
        <v>0</v>
      </c>
      <c r="G81" s="372">
        <v>0</v>
      </c>
      <c r="H81" s="372">
        <v>0</v>
      </c>
      <c r="I81" s="372">
        <v>0</v>
      </c>
      <c r="J81" s="372">
        <v>0</v>
      </c>
      <c r="K81" s="372">
        <v>0</v>
      </c>
      <c r="L81" s="372">
        <v>0</v>
      </c>
      <c r="M81" s="372">
        <v>0</v>
      </c>
      <c r="N81" s="372">
        <v>0</v>
      </c>
      <c r="O81" s="372">
        <v>0</v>
      </c>
      <c r="P81" s="372">
        <v>0</v>
      </c>
      <c r="Q81" s="372">
        <v>0</v>
      </c>
      <c r="R81" s="372">
        <v>0</v>
      </c>
      <c r="S81" s="372">
        <v>0</v>
      </c>
    </row>
    <row r="82" spans="1:19" ht="12.75">
      <c r="A82" s="369" t="s">
        <v>2182</v>
      </c>
      <c r="B82" s="369" t="s">
        <v>2181</v>
      </c>
      <c r="C82" s="369" t="s">
        <v>467</v>
      </c>
      <c r="D82" s="372">
        <v>0</v>
      </c>
      <c r="E82" s="372">
        <v>0</v>
      </c>
      <c r="F82" s="372">
        <v>0</v>
      </c>
      <c r="G82" s="372">
        <v>0</v>
      </c>
      <c r="H82" s="372">
        <v>0</v>
      </c>
      <c r="I82" s="372">
        <v>0</v>
      </c>
      <c r="J82" s="372">
        <v>0</v>
      </c>
      <c r="K82" s="372">
        <v>0</v>
      </c>
      <c r="L82" s="372">
        <v>0</v>
      </c>
      <c r="M82" s="372">
        <v>0</v>
      </c>
      <c r="N82" s="372">
        <v>0</v>
      </c>
      <c r="O82" s="372">
        <v>0</v>
      </c>
      <c r="P82" s="372">
        <v>0</v>
      </c>
      <c r="Q82" s="372">
        <v>0</v>
      </c>
      <c r="R82" s="372">
        <v>0</v>
      </c>
      <c r="S82" s="372">
        <v>0</v>
      </c>
    </row>
    <row r="83" spans="1:19" ht="12.75">
      <c r="A83" s="369" t="s">
        <v>132</v>
      </c>
      <c r="B83" s="369" t="s">
        <v>2407</v>
      </c>
      <c r="C83" s="369" t="s">
        <v>468</v>
      </c>
      <c r="D83" s="372">
        <v>0</v>
      </c>
      <c r="E83" s="372">
        <v>0</v>
      </c>
      <c r="F83" s="372">
        <v>0</v>
      </c>
      <c r="G83" s="372">
        <v>0</v>
      </c>
      <c r="H83" s="372">
        <v>0</v>
      </c>
      <c r="I83" s="372">
        <v>1</v>
      </c>
      <c r="J83" s="372">
        <v>0</v>
      </c>
      <c r="K83" s="372">
        <v>0</v>
      </c>
      <c r="L83" s="372">
        <v>0</v>
      </c>
      <c r="M83" s="372">
        <v>0</v>
      </c>
      <c r="N83" s="372">
        <v>0</v>
      </c>
      <c r="O83" s="372">
        <v>0</v>
      </c>
      <c r="P83" s="372">
        <v>1</v>
      </c>
      <c r="Q83" s="372">
        <v>0</v>
      </c>
      <c r="R83" s="372">
        <v>0</v>
      </c>
      <c r="S83" s="372">
        <v>0</v>
      </c>
    </row>
    <row r="84" spans="1:19" ht="12.75">
      <c r="A84" s="369" t="s">
        <v>2352</v>
      </c>
      <c r="B84" s="369" t="s">
        <v>2183</v>
      </c>
      <c r="C84" s="369" t="s">
        <v>469</v>
      </c>
      <c r="D84" s="372">
        <v>0</v>
      </c>
      <c r="E84" s="372">
        <v>1</v>
      </c>
      <c r="F84" s="372">
        <v>0</v>
      </c>
      <c r="G84" s="372">
        <v>0</v>
      </c>
      <c r="H84" s="372">
        <v>0</v>
      </c>
      <c r="I84" s="372">
        <v>0</v>
      </c>
      <c r="J84" s="372">
        <v>0</v>
      </c>
      <c r="K84" s="372">
        <v>0</v>
      </c>
      <c r="L84" s="372">
        <v>0</v>
      </c>
      <c r="M84" s="372">
        <v>0</v>
      </c>
      <c r="N84" s="372">
        <v>0</v>
      </c>
      <c r="O84" s="372">
        <v>0</v>
      </c>
      <c r="P84" s="372">
        <v>0</v>
      </c>
      <c r="Q84" s="372">
        <v>1</v>
      </c>
      <c r="R84" s="372">
        <v>0</v>
      </c>
      <c r="S84" s="372">
        <v>0</v>
      </c>
    </row>
    <row r="85" spans="1:19" ht="12.75">
      <c r="A85" s="369" t="s">
        <v>2103</v>
      </c>
      <c r="B85" s="369" t="s">
        <v>2353</v>
      </c>
      <c r="C85" s="369" t="s">
        <v>470</v>
      </c>
      <c r="D85" s="372">
        <v>0</v>
      </c>
      <c r="E85" s="372">
        <v>0</v>
      </c>
      <c r="F85" s="372">
        <v>0</v>
      </c>
      <c r="G85" s="372">
        <v>0</v>
      </c>
      <c r="H85" s="372">
        <v>0</v>
      </c>
      <c r="I85" s="372">
        <v>0</v>
      </c>
      <c r="J85" s="372">
        <v>0</v>
      </c>
      <c r="K85" s="372">
        <v>0</v>
      </c>
      <c r="L85" s="372">
        <v>0</v>
      </c>
      <c r="M85" s="372">
        <v>0</v>
      </c>
      <c r="N85" s="372">
        <v>0</v>
      </c>
      <c r="O85" s="372">
        <v>0</v>
      </c>
      <c r="P85" s="372">
        <v>0</v>
      </c>
      <c r="Q85" s="372">
        <v>0</v>
      </c>
      <c r="R85" s="372">
        <v>0</v>
      </c>
      <c r="S85" s="372">
        <v>0</v>
      </c>
    </row>
    <row r="86" spans="1:19" ht="12.75">
      <c r="A86" s="369" t="s">
        <v>2330</v>
      </c>
      <c r="B86" s="369" t="s">
        <v>2408</v>
      </c>
      <c r="C86" s="369" t="s">
        <v>471</v>
      </c>
      <c r="D86" s="372">
        <v>0</v>
      </c>
      <c r="E86" s="372">
        <v>0</v>
      </c>
      <c r="F86" s="372">
        <v>0</v>
      </c>
      <c r="G86" s="372">
        <v>0</v>
      </c>
      <c r="H86" s="372">
        <v>1</v>
      </c>
      <c r="I86" s="372">
        <v>0</v>
      </c>
      <c r="J86" s="372">
        <v>0</v>
      </c>
      <c r="K86" s="372">
        <v>0</v>
      </c>
      <c r="L86" s="372">
        <v>1</v>
      </c>
      <c r="M86" s="372">
        <v>0</v>
      </c>
      <c r="N86" s="372">
        <v>0</v>
      </c>
      <c r="O86" s="372">
        <v>1</v>
      </c>
      <c r="P86" s="372">
        <v>1</v>
      </c>
      <c r="Q86" s="372">
        <v>0</v>
      </c>
      <c r="R86" s="372">
        <v>0</v>
      </c>
      <c r="S86" s="372">
        <v>0</v>
      </c>
    </row>
    <row r="87" spans="1:19" ht="12.75">
      <c r="A87" s="369" t="s">
        <v>296</v>
      </c>
      <c r="B87" s="369" t="s">
        <v>1869</v>
      </c>
      <c r="C87" s="369" t="s">
        <v>472</v>
      </c>
      <c r="D87" s="372">
        <v>0</v>
      </c>
      <c r="E87" s="372">
        <v>0</v>
      </c>
      <c r="F87" s="372">
        <v>0</v>
      </c>
      <c r="G87" s="372">
        <v>0</v>
      </c>
      <c r="H87" s="372">
        <v>0</v>
      </c>
      <c r="I87" s="372">
        <v>0</v>
      </c>
      <c r="J87" s="372">
        <v>0</v>
      </c>
      <c r="K87" s="372">
        <v>0</v>
      </c>
      <c r="L87" s="372">
        <v>0</v>
      </c>
      <c r="M87" s="372">
        <v>0</v>
      </c>
      <c r="N87" s="372">
        <v>0</v>
      </c>
      <c r="O87" s="372">
        <v>0</v>
      </c>
      <c r="P87" s="372">
        <v>0</v>
      </c>
      <c r="Q87" s="372">
        <v>0</v>
      </c>
      <c r="R87" s="372">
        <v>0</v>
      </c>
      <c r="S87" s="372">
        <v>0</v>
      </c>
    </row>
    <row r="88" spans="1:19" ht="12.75">
      <c r="A88" s="369" t="s">
        <v>1874</v>
      </c>
      <c r="B88" s="369" t="s">
        <v>1340</v>
      </c>
      <c r="C88" s="369" t="s">
        <v>473</v>
      </c>
      <c r="D88" s="372">
        <v>0</v>
      </c>
      <c r="E88" s="372">
        <v>0</v>
      </c>
      <c r="F88" s="372">
        <v>0</v>
      </c>
      <c r="G88" s="372">
        <v>0</v>
      </c>
      <c r="H88" s="372">
        <v>0</v>
      </c>
      <c r="I88" s="372">
        <v>0</v>
      </c>
      <c r="J88" s="372">
        <v>0</v>
      </c>
      <c r="K88" s="372">
        <v>0</v>
      </c>
      <c r="L88" s="372">
        <v>0</v>
      </c>
      <c r="M88" s="372">
        <v>0</v>
      </c>
      <c r="N88" s="372">
        <v>0</v>
      </c>
      <c r="O88" s="372">
        <v>0</v>
      </c>
      <c r="P88" s="372">
        <v>0</v>
      </c>
      <c r="Q88" s="372">
        <v>0</v>
      </c>
      <c r="R88" s="372">
        <v>0</v>
      </c>
      <c r="S88" s="372">
        <v>0</v>
      </c>
    </row>
    <row r="89" spans="1:19" ht="12.75">
      <c r="A89" s="369" t="s">
        <v>1720</v>
      </c>
      <c r="B89" s="369" t="s">
        <v>1719</v>
      </c>
      <c r="C89" s="369" t="s">
        <v>474</v>
      </c>
      <c r="D89" s="372">
        <v>0</v>
      </c>
      <c r="E89" s="372">
        <v>0</v>
      </c>
      <c r="F89" s="372">
        <v>0</v>
      </c>
      <c r="G89" s="372">
        <v>0</v>
      </c>
      <c r="H89" s="372">
        <v>0</v>
      </c>
      <c r="I89" s="372">
        <v>0</v>
      </c>
      <c r="J89" s="372">
        <v>0</v>
      </c>
      <c r="K89" s="372">
        <v>0</v>
      </c>
      <c r="L89" s="372">
        <v>0</v>
      </c>
      <c r="M89" s="372">
        <v>0</v>
      </c>
      <c r="N89" s="372">
        <v>0</v>
      </c>
      <c r="O89" s="372">
        <v>0</v>
      </c>
      <c r="P89" s="372">
        <v>0</v>
      </c>
      <c r="Q89" s="372">
        <v>0</v>
      </c>
      <c r="R89" s="372">
        <v>0</v>
      </c>
      <c r="S89" s="372">
        <v>0</v>
      </c>
    </row>
    <row r="90" spans="1:19" ht="12.75">
      <c r="A90" s="369" t="s">
        <v>2354</v>
      </c>
      <c r="B90" s="369" t="s">
        <v>1263</v>
      </c>
      <c r="C90" s="369" t="s">
        <v>475</v>
      </c>
      <c r="D90" s="372">
        <v>0</v>
      </c>
      <c r="E90" s="372">
        <v>0</v>
      </c>
      <c r="F90" s="372">
        <v>0</v>
      </c>
      <c r="G90" s="372">
        <v>0</v>
      </c>
      <c r="H90" s="372">
        <v>0</v>
      </c>
      <c r="I90" s="372">
        <v>0</v>
      </c>
      <c r="J90" s="372">
        <v>0</v>
      </c>
      <c r="K90" s="372">
        <v>0</v>
      </c>
      <c r="L90" s="372">
        <v>0</v>
      </c>
      <c r="M90" s="372">
        <v>0</v>
      </c>
      <c r="N90" s="372">
        <v>0</v>
      </c>
      <c r="O90" s="372">
        <v>0</v>
      </c>
      <c r="P90" s="372">
        <v>0</v>
      </c>
      <c r="Q90" s="372">
        <v>0</v>
      </c>
      <c r="R90" s="372">
        <v>0</v>
      </c>
      <c r="S90" s="372">
        <v>0</v>
      </c>
    </row>
    <row r="91" spans="1:19" ht="12.75">
      <c r="A91" s="369" t="s">
        <v>1875</v>
      </c>
      <c r="B91" s="369" t="s">
        <v>1341</v>
      </c>
      <c r="C91" s="369" t="s">
        <v>476</v>
      </c>
      <c r="D91" s="372">
        <v>0</v>
      </c>
      <c r="E91" s="372">
        <v>0</v>
      </c>
      <c r="F91" s="372">
        <v>0</v>
      </c>
      <c r="G91" s="372">
        <v>1</v>
      </c>
      <c r="H91" s="372">
        <v>0</v>
      </c>
      <c r="I91" s="372">
        <v>0</v>
      </c>
      <c r="J91" s="372">
        <v>0</v>
      </c>
      <c r="K91" s="372">
        <v>0</v>
      </c>
      <c r="L91" s="372">
        <v>0</v>
      </c>
      <c r="M91" s="372">
        <v>0</v>
      </c>
      <c r="N91" s="372">
        <v>1</v>
      </c>
      <c r="O91" s="372">
        <v>0</v>
      </c>
      <c r="P91" s="372">
        <v>0</v>
      </c>
      <c r="Q91" s="372">
        <v>0</v>
      </c>
      <c r="R91" s="372">
        <v>0</v>
      </c>
      <c r="S91" s="372">
        <v>0</v>
      </c>
    </row>
    <row r="92" spans="1:19" ht="12.75">
      <c r="A92" s="369" t="s">
        <v>1941</v>
      </c>
      <c r="B92" s="369" t="s">
        <v>2414</v>
      </c>
      <c r="C92" s="369" t="s">
        <v>477</v>
      </c>
      <c r="D92" s="372">
        <v>1</v>
      </c>
      <c r="E92" s="372">
        <v>1</v>
      </c>
      <c r="F92" s="372">
        <v>0</v>
      </c>
      <c r="G92" s="372">
        <v>0</v>
      </c>
      <c r="H92" s="372">
        <v>0</v>
      </c>
      <c r="I92" s="372">
        <v>1</v>
      </c>
      <c r="J92" s="372">
        <v>1</v>
      </c>
      <c r="K92" s="372">
        <v>0</v>
      </c>
      <c r="L92" s="372">
        <v>0</v>
      </c>
      <c r="M92" s="372">
        <v>0</v>
      </c>
      <c r="N92" s="372">
        <v>0</v>
      </c>
      <c r="O92" s="372">
        <v>0</v>
      </c>
      <c r="P92" s="372">
        <v>0</v>
      </c>
      <c r="Q92" s="372">
        <v>1</v>
      </c>
      <c r="R92" s="372">
        <v>0</v>
      </c>
      <c r="S92" s="372">
        <v>1</v>
      </c>
    </row>
    <row r="93" spans="1:19" ht="12.75">
      <c r="A93" s="369" t="s">
        <v>2363</v>
      </c>
      <c r="B93" s="369" t="s">
        <v>2355</v>
      </c>
      <c r="C93" s="369" t="s">
        <v>478</v>
      </c>
      <c r="D93" s="372">
        <v>0</v>
      </c>
      <c r="E93" s="372">
        <v>0</v>
      </c>
      <c r="F93" s="372">
        <v>0</v>
      </c>
      <c r="G93" s="372">
        <v>0</v>
      </c>
      <c r="H93" s="372">
        <v>0</v>
      </c>
      <c r="I93" s="372">
        <v>0</v>
      </c>
      <c r="J93" s="372">
        <v>0</v>
      </c>
      <c r="K93" s="372">
        <v>0</v>
      </c>
      <c r="L93" s="372">
        <v>0</v>
      </c>
      <c r="M93" s="372">
        <v>0</v>
      </c>
      <c r="N93" s="372">
        <v>0</v>
      </c>
      <c r="O93" s="372">
        <v>0</v>
      </c>
      <c r="P93" s="372">
        <v>0</v>
      </c>
      <c r="Q93" s="372">
        <v>0</v>
      </c>
      <c r="R93" s="372">
        <v>0</v>
      </c>
      <c r="S93" s="372">
        <v>0</v>
      </c>
    </row>
    <row r="94" spans="1:19" ht="12.75">
      <c r="A94" s="369" t="s">
        <v>1266</v>
      </c>
      <c r="B94" s="369" t="s">
        <v>2415</v>
      </c>
      <c r="C94" s="369" t="s">
        <v>479</v>
      </c>
      <c r="D94" s="372">
        <v>1</v>
      </c>
      <c r="E94" s="372">
        <v>1</v>
      </c>
      <c r="F94" s="372">
        <v>1</v>
      </c>
      <c r="G94" s="372">
        <v>1</v>
      </c>
      <c r="H94" s="372">
        <v>1</v>
      </c>
      <c r="I94" s="372">
        <v>1</v>
      </c>
      <c r="J94" s="372">
        <v>1</v>
      </c>
      <c r="K94" s="372">
        <v>0</v>
      </c>
      <c r="L94" s="372">
        <v>0</v>
      </c>
      <c r="M94" s="372">
        <v>1</v>
      </c>
      <c r="N94" s="372">
        <v>0</v>
      </c>
      <c r="O94" s="372">
        <v>1</v>
      </c>
      <c r="P94" s="372">
        <v>0</v>
      </c>
      <c r="Q94" s="372">
        <v>1</v>
      </c>
      <c r="R94" s="372">
        <v>1</v>
      </c>
      <c r="S94" s="372">
        <v>1</v>
      </c>
    </row>
    <row r="95" spans="1:19" ht="12.75">
      <c r="A95" s="369" t="s">
        <v>1367</v>
      </c>
      <c r="B95" s="369" t="s">
        <v>1798</v>
      </c>
      <c r="C95" s="369"/>
      <c r="D95" s="372">
        <v>0</v>
      </c>
      <c r="E95" s="372">
        <v>0</v>
      </c>
      <c r="F95" s="372">
        <v>0</v>
      </c>
      <c r="G95" s="372">
        <v>0</v>
      </c>
      <c r="H95" s="372">
        <v>0</v>
      </c>
      <c r="I95" s="372">
        <v>0</v>
      </c>
      <c r="J95" s="372">
        <v>0</v>
      </c>
      <c r="K95" s="372">
        <v>0</v>
      </c>
      <c r="L95" s="372">
        <v>0</v>
      </c>
      <c r="M95" s="372">
        <v>0</v>
      </c>
      <c r="N95" s="372">
        <v>0</v>
      </c>
      <c r="O95" s="372">
        <v>0</v>
      </c>
      <c r="P95" s="372">
        <v>0</v>
      </c>
      <c r="Q95" s="372">
        <v>0</v>
      </c>
      <c r="R95" s="372">
        <v>0</v>
      </c>
      <c r="S95" s="372">
        <v>0</v>
      </c>
    </row>
    <row r="96" spans="1:19" ht="12.75">
      <c r="A96" s="369" t="s">
        <v>2031</v>
      </c>
      <c r="B96" s="369" t="s">
        <v>2416</v>
      </c>
      <c r="C96" s="369" t="s">
        <v>480</v>
      </c>
      <c r="D96" s="372">
        <v>0</v>
      </c>
      <c r="E96" s="372">
        <v>0</v>
      </c>
      <c r="F96" s="372">
        <v>0</v>
      </c>
      <c r="G96" s="372">
        <v>0</v>
      </c>
      <c r="H96" s="372">
        <v>0</v>
      </c>
      <c r="I96" s="372">
        <v>0</v>
      </c>
      <c r="J96" s="372">
        <v>0</v>
      </c>
      <c r="K96" s="372">
        <v>0</v>
      </c>
      <c r="L96" s="372">
        <v>0</v>
      </c>
      <c r="M96" s="372">
        <v>0</v>
      </c>
      <c r="N96" s="372">
        <v>0</v>
      </c>
      <c r="O96" s="372">
        <v>0</v>
      </c>
      <c r="P96" s="372">
        <v>0</v>
      </c>
      <c r="Q96" s="372">
        <v>0</v>
      </c>
      <c r="R96" s="372">
        <v>0</v>
      </c>
      <c r="S96" s="372">
        <v>0</v>
      </c>
    </row>
    <row r="97" spans="1:19" ht="12.75">
      <c r="A97" s="369" t="s">
        <v>2365</v>
      </c>
      <c r="B97" s="369" t="s">
        <v>2364</v>
      </c>
      <c r="C97" s="369" t="s">
        <v>481</v>
      </c>
      <c r="D97" s="372">
        <v>0</v>
      </c>
      <c r="E97" s="372">
        <v>0</v>
      </c>
      <c r="F97" s="372">
        <v>0</v>
      </c>
      <c r="G97" s="372">
        <v>0</v>
      </c>
      <c r="H97" s="372">
        <v>0</v>
      </c>
      <c r="I97" s="372">
        <v>0</v>
      </c>
      <c r="J97" s="372">
        <v>0</v>
      </c>
      <c r="K97" s="372">
        <v>0</v>
      </c>
      <c r="L97" s="372">
        <v>0</v>
      </c>
      <c r="M97" s="372">
        <v>0</v>
      </c>
      <c r="N97" s="372">
        <v>0</v>
      </c>
      <c r="O97" s="372">
        <v>0</v>
      </c>
      <c r="P97" s="372">
        <v>0</v>
      </c>
      <c r="Q97" s="372">
        <v>0</v>
      </c>
      <c r="R97" s="372">
        <v>0</v>
      </c>
      <c r="S97" s="372">
        <v>0</v>
      </c>
    </row>
    <row r="98" spans="1:19" ht="12.75">
      <c r="A98" s="369" t="s">
        <v>188</v>
      </c>
      <c r="B98" s="369" t="s">
        <v>2417</v>
      </c>
      <c r="C98" s="369" t="s">
        <v>482</v>
      </c>
      <c r="D98" s="372">
        <v>0</v>
      </c>
      <c r="E98" s="372">
        <v>1</v>
      </c>
      <c r="F98" s="372">
        <v>0</v>
      </c>
      <c r="G98" s="372">
        <v>0</v>
      </c>
      <c r="H98" s="372">
        <v>0</v>
      </c>
      <c r="I98" s="372">
        <v>0</v>
      </c>
      <c r="J98" s="372">
        <v>0</v>
      </c>
      <c r="K98" s="372">
        <v>0</v>
      </c>
      <c r="L98" s="372">
        <v>0</v>
      </c>
      <c r="M98" s="372">
        <v>0</v>
      </c>
      <c r="N98" s="372">
        <v>0</v>
      </c>
      <c r="O98" s="372">
        <v>0</v>
      </c>
      <c r="P98" s="372">
        <v>0</v>
      </c>
      <c r="Q98" s="372">
        <v>0</v>
      </c>
      <c r="R98" s="372">
        <v>0</v>
      </c>
      <c r="S98" s="372">
        <v>1</v>
      </c>
    </row>
    <row r="99" spans="1:19" ht="12.75">
      <c r="A99" s="369" t="s">
        <v>2367</v>
      </c>
      <c r="B99" s="369" t="s">
        <v>2366</v>
      </c>
      <c r="C99" s="369" t="s">
        <v>483</v>
      </c>
      <c r="D99" s="372">
        <v>0</v>
      </c>
      <c r="E99" s="372">
        <v>0</v>
      </c>
      <c r="F99" s="372">
        <v>0</v>
      </c>
      <c r="G99" s="372">
        <v>0</v>
      </c>
      <c r="H99" s="372">
        <v>0</v>
      </c>
      <c r="I99" s="372">
        <v>0</v>
      </c>
      <c r="J99" s="372">
        <v>0</v>
      </c>
      <c r="K99" s="372">
        <v>0</v>
      </c>
      <c r="L99" s="372">
        <v>0</v>
      </c>
      <c r="M99" s="372">
        <v>0</v>
      </c>
      <c r="N99" s="372">
        <v>0</v>
      </c>
      <c r="O99" s="372">
        <v>0</v>
      </c>
      <c r="P99" s="372">
        <v>0</v>
      </c>
      <c r="Q99" s="372">
        <v>0</v>
      </c>
      <c r="R99" s="372">
        <v>0</v>
      </c>
      <c r="S99" s="372">
        <v>0</v>
      </c>
    </row>
    <row r="100" spans="1:19" ht="12.75">
      <c r="A100" s="369" t="s">
        <v>2369</v>
      </c>
      <c r="B100" s="369" t="s">
        <v>2368</v>
      </c>
      <c r="C100" s="369" t="s">
        <v>484</v>
      </c>
      <c r="D100" s="372">
        <v>0</v>
      </c>
      <c r="E100" s="372">
        <v>0</v>
      </c>
      <c r="F100" s="372">
        <v>0</v>
      </c>
      <c r="G100" s="372">
        <v>0</v>
      </c>
      <c r="H100" s="372">
        <v>0</v>
      </c>
      <c r="I100" s="372">
        <v>0</v>
      </c>
      <c r="J100" s="372">
        <v>0</v>
      </c>
      <c r="K100" s="372">
        <v>0</v>
      </c>
      <c r="L100" s="372">
        <v>0</v>
      </c>
      <c r="M100" s="372">
        <v>0</v>
      </c>
      <c r="N100" s="372">
        <v>0</v>
      </c>
      <c r="O100" s="372">
        <v>0</v>
      </c>
      <c r="P100" s="372">
        <v>0</v>
      </c>
      <c r="Q100" s="372">
        <v>0</v>
      </c>
      <c r="R100" s="372">
        <v>0</v>
      </c>
      <c r="S100" s="372">
        <v>0</v>
      </c>
    </row>
    <row r="101" spans="1:19" ht="12.75">
      <c r="A101" s="369" t="s">
        <v>2299</v>
      </c>
      <c r="B101" s="369" t="s">
        <v>2418</v>
      </c>
      <c r="C101" s="369" t="s">
        <v>485</v>
      </c>
      <c r="D101" s="372">
        <v>0</v>
      </c>
      <c r="E101" s="372">
        <v>0</v>
      </c>
      <c r="F101" s="372">
        <v>0</v>
      </c>
      <c r="G101" s="372">
        <v>0</v>
      </c>
      <c r="H101" s="372">
        <v>0</v>
      </c>
      <c r="I101" s="372">
        <v>0</v>
      </c>
      <c r="J101" s="372">
        <v>0</v>
      </c>
      <c r="K101" s="372">
        <v>0</v>
      </c>
      <c r="L101" s="372">
        <v>0</v>
      </c>
      <c r="M101" s="372">
        <v>0</v>
      </c>
      <c r="N101" s="372">
        <v>0</v>
      </c>
      <c r="O101" s="372">
        <v>0</v>
      </c>
      <c r="P101" s="372">
        <v>0</v>
      </c>
      <c r="Q101" s="372">
        <v>0</v>
      </c>
      <c r="R101" s="372">
        <v>0</v>
      </c>
      <c r="S101" s="372">
        <v>0</v>
      </c>
    </row>
    <row r="102" spans="1:19" ht="12.75">
      <c r="A102" s="369" t="s">
        <v>2371</v>
      </c>
      <c r="B102" s="369" t="s">
        <v>2370</v>
      </c>
      <c r="C102" s="369" t="s">
        <v>486</v>
      </c>
      <c r="D102" s="372">
        <v>0</v>
      </c>
      <c r="E102" s="372">
        <v>0</v>
      </c>
      <c r="F102" s="372">
        <v>0</v>
      </c>
      <c r="G102" s="372">
        <v>0</v>
      </c>
      <c r="H102" s="372">
        <v>0</v>
      </c>
      <c r="I102" s="372">
        <v>0</v>
      </c>
      <c r="J102" s="372">
        <v>0</v>
      </c>
      <c r="K102" s="372">
        <v>0</v>
      </c>
      <c r="L102" s="372">
        <v>0</v>
      </c>
      <c r="M102" s="372">
        <v>0</v>
      </c>
      <c r="N102" s="372">
        <v>0</v>
      </c>
      <c r="O102" s="372">
        <v>0</v>
      </c>
      <c r="P102" s="372">
        <v>0</v>
      </c>
      <c r="Q102" s="372">
        <v>0</v>
      </c>
      <c r="R102" s="372">
        <v>0</v>
      </c>
      <c r="S102" s="372">
        <v>0</v>
      </c>
    </row>
    <row r="103" spans="1:19" ht="12.75">
      <c r="A103" s="369" t="s">
        <v>2300</v>
      </c>
      <c r="B103" s="369" t="s">
        <v>2419</v>
      </c>
      <c r="C103" s="369" t="s">
        <v>487</v>
      </c>
      <c r="D103" s="372">
        <v>0</v>
      </c>
      <c r="E103" s="372">
        <v>0</v>
      </c>
      <c r="F103" s="372">
        <v>0</v>
      </c>
      <c r="G103" s="372">
        <v>0</v>
      </c>
      <c r="H103" s="372">
        <v>0</v>
      </c>
      <c r="I103" s="372">
        <v>0</v>
      </c>
      <c r="J103" s="372">
        <v>0</v>
      </c>
      <c r="K103" s="372">
        <v>0</v>
      </c>
      <c r="L103" s="372">
        <v>0</v>
      </c>
      <c r="M103" s="372">
        <v>0</v>
      </c>
      <c r="N103" s="372">
        <v>0</v>
      </c>
      <c r="O103" s="372">
        <v>0</v>
      </c>
      <c r="P103" s="372">
        <v>0</v>
      </c>
      <c r="Q103" s="372">
        <v>0</v>
      </c>
      <c r="R103" s="372">
        <v>0</v>
      </c>
      <c r="S103" s="372">
        <v>0</v>
      </c>
    </row>
    <row r="104" spans="1:19" ht="12.75">
      <c r="A104" s="369" t="s">
        <v>291</v>
      </c>
      <c r="B104" s="369" t="s">
        <v>2372</v>
      </c>
      <c r="C104" s="369" t="s">
        <v>488</v>
      </c>
      <c r="D104" s="372">
        <v>0</v>
      </c>
      <c r="E104" s="372">
        <v>0</v>
      </c>
      <c r="F104" s="372">
        <v>0</v>
      </c>
      <c r="G104" s="372">
        <v>0</v>
      </c>
      <c r="H104" s="372">
        <v>0</v>
      </c>
      <c r="I104" s="372">
        <v>0</v>
      </c>
      <c r="J104" s="372">
        <v>0</v>
      </c>
      <c r="K104" s="372">
        <v>0</v>
      </c>
      <c r="L104" s="372">
        <v>0</v>
      </c>
      <c r="M104" s="372">
        <v>0</v>
      </c>
      <c r="N104" s="372">
        <v>0</v>
      </c>
      <c r="O104" s="372">
        <v>0</v>
      </c>
      <c r="P104" s="372">
        <v>0</v>
      </c>
      <c r="Q104" s="372">
        <v>0</v>
      </c>
      <c r="R104" s="372">
        <v>0</v>
      </c>
      <c r="S104" s="372">
        <v>0</v>
      </c>
    </row>
    <row r="105" spans="1:19" ht="12.75">
      <c r="A105" s="369" t="s">
        <v>203</v>
      </c>
      <c r="B105" s="369" t="s">
        <v>204</v>
      </c>
      <c r="C105" s="369"/>
      <c r="D105" s="372">
        <v>0</v>
      </c>
      <c r="E105" s="372">
        <v>0</v>
      </c>
      <c r="F105" s="372">
        <v>0</v>
      </c>
      <c r="G105" s="372">
        <v>0</v>
      </c>
      <c r="H105" s="372">
        <v>0</v>
      </c>
      <c r="I105" s="372">
        <v>0</v>
      </c>
      <c r="J105" s="372">
        <v>0</v>
      </c>
      <c r="K105" s="372">
        <v>0</v>
      </c>
      <c r="L105" s="372">
        <v>0</v>
      </c>
      <c r="M105" s="372">
        <v>0</v>
      </c>
      <c r="N105" s="372">
        <v>0</v>
      </c>
      <c r="O105" s="372">
        <v>0</v>
      </c>
      <c r="P105" s="372">
        <v>0</v>
      </c>
      <c r="Q105" s="372">
        <v>0</v>
      </c>
      <c r="R105" s="372">
        <v>0</v>
      </c>
      <c r="S105" s="372">
        <v>0</v>
      </c>
    </row>
    <row r="106" spans="1:19" ht="12.75">
      <c r="A106" s="369" t="s">
        <v>2427</v>
      </c>
      <c r="B106" s="369" t="s">
        <v>2489</v>
      </c>
      <c r="C106" s="369" t="s">
        <v>489</v>
      </c>
      <c r="D106" s="372">
        <v>1</v>
      </c>
      <c r="E106" s="372">
        <v>1</v>
      </c>
      <c r="F106" s="372">
        <v>1</v>
      </c>
      <c r="G106" s="372">
        <v>1</v>
      </c>
      <c r="H106" s="372">
        <v>1</v>
      </c>
      <c r="I106" s="372">
        <v>1</v>
      </c>
      <c r="J106" s="372">
        <v>1</v>
      </c>
      <c r="K106" s="372">
        <v>1</v>
      </c>
      <c r="L106" s="372">
        <v>1</v>
      </c>
      <c r="M106" s="372">
        <v>1</v>
      </c>
      <c r="N106" s="372">
        <v>1</v>
      </c>
      <c r="O106" s="372">
        <v>1</v>
      </c>
      <c r="P106" s="372">
        <v>1</v>
      </c>
      <c r="Q106" s="372">
        <v>0</v>
      </c>
      <c r="R106" s="372">
        <v>0</v>
      </c>
      <c r="S106" s="372">
        <v>1</v>
      </c>
    </row>
    <row r="107" spans="1:19" ht="12.75">
      <c r="A107" s="369" t="s">
        <v>1932</v>
      </c>
      <c r="B107" s="369" t="s">
        <v>1933</v>
      </c>
      <c r="C107" s="369"/>
      <c r="D107" s="372">
        <v>0</v>
      </c>
      <c r="E107" s="372">
        <v>0</v>
      </c>
      <c r="F107" s="372">
        <v>0</v>
      </c>
      <c r="G107" s="372">
        <v>0</v>
      </c>
      <c r="H107" s="372">
        <v>0</v>
      </c>
      <c r="I107" s="372">
        <v>0</v>
      </c>
      <c r="J107" s="372">
        <v>0</v>
      </c>
      <c r="K107" s="372">
        <v>0</v>
      </c>
      <c r="L107" s="372">
        <v>0</v>
      </c>
      <c r="M107" s="372">
        <v>0</v>
      </c>
      <c r="N107" s="372">
        <v>0</v>
      </c>
      <c r="O107" s="372">
        <v>0</v>
      </c>
      <c r="P107" s="372">
        <v>0</v>
      </c>
      <c r="Q107" s="372">
        <v>0</v>
      </c>
      <c r="R107" s="372">
        <v>0</v>
      </c>
      <c r="S107" s="372">
        <v>0</v>
      </c>
    </row>
    <row r="108" spans="1:19" ht="12.75">
      <c r="A108" s="369" t="s">
        <v>293</v>
      </c>
      <c r="B108" s="369" t="s">
        <v>292</v>
      </c>
      <c r="C108" s="369" t="s">
        <v>490</v>
      </c>
      <c r="D108" s="372">
        <v>0</v>
      </c>
      <c r="E108" s="372">
        <v>0</v>
      </c>
      <c r="F108" s="372">
        <v>0</v>
      </c>
      <c r="G108" s="372">
        <v>0</v>
      </c>
      <c r="H108" s="372">
        <v>0</v>
      </c>
      <c r="I108" s="372">
        <v>0</v>
      </c>
      <c r="J108" s="372">
        <v>0</v>
      </c>
      <c r="K108" s="372">
        <v>0</v>
      </c>
      <c r="L108" s="372">
        <v>0</v>
      </c>
      <c r="M108" s="372">
        <v>0</v>
      </c>
      <c r="N108" s="372">
        <v>0</v>
      </c>
      <c r="O108" s="372">
        <v>0</v>
      </c>
      <c r="P108" s="372">
        <v>0</v>
      </c>
      <c r="Q108" s="372">
        <v>0</v>
      </c>
      <c r="R108" s="372">
        <v>0</v>
      </c>
      <c r="S108" s="372">
        <v>0</v>
      </c>
    </row>
    <row r="109" spans="1:19" ht="12.75">
      <c r="A109" s="369" t="s">
        <v>2499</v>
      </c>
      <c r="B109" s="369" t="s">
        <v>294</v>
      </c>
      <c r="C109" s="369" t="s">
        <v>491</v>
      </c>
      <c r="D109" s="372">
        <v>0</v>
      </c>
      <c r="E109" s="372">
        <v>0</v>
      </c>
      <c r="F109" s="372">
        <v>0</v>
      </c>
      <c r="G109" s="372">
        <v>0</v>
      </c>
      <c r="H109" s="372">
        <v>0</v>
      </c>
      <c r="I109" s="372">
        <v>0</v>
      </c>
      <c r="J109" s="372">
        <v>0</v>
      </c>
      <c r="K109" s="372">
        <v>0</v>
      </c>
      <c r="L109" s="372">
        <v>0</v>
      </c>
      <c r="M109" s="372">
        <v>0</v>
      </c>
      <c r="N109" s="372">
        <v>0</v>
      </c>
      <c r="O109" s="372">
        <v>0</v>
      </c>
      <c r="P109" s="372">
        <v>0</v>
      </c>
      <c r="Q109" s="372">
        <v>0</v>
      </c>
      <c r="R109" s="372">
        <v>0</v>
      </c>
      <c r="S109" s="372">
        <v>0</v>
      </c>
    </row>
    <row r="110" spans="1:19" ht="12.75">
      <c r="A110" s="369" t="s">
        <v>1496</v>
      </c>
      <c r="B110" s="369" t="s">
        <v>1497</v>
      </c>
      <c r="C110" s="369"/>
      <c r="D110" s="372">
        <v>0</v>
      </c>
      <c r="E110" s="372">
        <v>0</v>
      </c>
      <c r="F110" s="372">
        <v>0</v>
      </c>
      <c r="G110" s="372">
        <v>0</v>
      </c>
      <c r="H110" s="372">
        <v>0</v>
      </c>
      <c r="I110" s="372">
        <v>0</v>
      </c>
      <c r="J110" s="372">
        <v>0</v>
      </c>
      <c r="K110" s="372">
        <v>0</v>
      </c>
      <c r="L110" s="372">
        <v>0</v>
      </c>
      <c r="M110" s="372">
        <v>0</v>
      </c>
      <c r="N110" s="372">
        <v>0</v>
      </c>
      <c r="O110" s="372">
        <v>0</v>
      </c>
      <c r="P110" s="372">
        <v>0</v>
      </c>
      <c r="Q110" s="372">
        <v>0</v>
      </c>
      <c r="R110" s="372">
        <v>0</v>
      </c>
      <c r="S110" s="372">
        <v>0</v>
      </c>
    </row>
    <row r="111" spans="1:19" ht="12.75">
      <c r="A111" s="369" t="s">
        <v>2428</v>
      </c>
      <c r="B111" s="369" t="s">
        <v>2438</v>
      </c>
      <c r="C111" s="369" t="s">
        <v>492</v>
      </c>
      <c r="D111" s="372">
        <v>0</v>
      </c>
      <c r="E111" s="372">
        <v>0</v>
      </c>
      <c r="F111" s="372">
        <v>0</v>
      </c>
      <c r="G111" s="372">
        <v>0</v>
      </c>
      <c r="H111" s="372">
        <v>0</v>
      </c>
      <c r="I111" s="372">
        <v>0</v>
      </c>
      <c r="J111" s="372">
        <v>0</v>
      </c>
      <c r="K111" s="372">
        <v>0</v>
      </c>
      <c r="L111" s="372">
        <v>0</v>
      </c>
      <c r="M111" s="372">
        <v>0</v>
      </c>
      <c r="N111" s="372">
        <v>0</v>
      </c>
      <c r="O111" s="372">
        <v>0</v>
      </c>
      <c r="P111" s="372">
        <v>0</v>
      </c>
      <c r="Q111" s="372">
        <v>0</v>
      </c>
      <c r="R111" s="372">
        <v>0</v>
      </c>
      <c r="S111" s="372">
        <v>0</v>
      </c>
    </row>
    <row r="112" spans="1:19" ht="12.75">
      <c r="A112" s="369" t="s">
        <v>2429</v>
      </c>
      <c r="B112" s="369" t="s">
        <v>2490</v>
      </c>
      <c r="C112" s="369" t="s">
        <v>493</v>
      </c>
      <c r="D112" s="372">
        <v>0</v>
      </c>
      <c r="E112" s="372">
        <v>0</v>
      </c>
      <c r="F112" s="372">
        <v>0</v>
      </c>
      <c r="G112" s="372">
        <v>0</v>
      </c>
      <c r="H112" s="372">
        <v>0</v>
      </c>
      <c r="I112" s="372">
        <v>0</v>
      </c>
      <c r="J112" s="372">
        <v>0</v>
      </c>
      <c r="K112" s="372">
        <v>0</v>
      </c>
      <c r="L112" s="372">
        <v>0</v>
      </c>
      <c r="M112" s="372">
        <v>0</v>
      </c>
      <c r="N112" s="372">
        <v>0</v>
      </c>
      <c r="O112" s="372">
        <v>0</v>
      </c>
      <c r="P112" s="372">
        <v>0</v>
      </c>
      <c r="Q112" s="372">
        <v>0</v>
      </c>
      <c r="R112" s="372">
        <v>0</v>
      </c>
      <c r="S112" s="372">
        <v>0</v>
      </c>
    </row>
    <row r="113" spans="1:19" ht="12.75">
      <c r="A113" s="369" t="s">
        <v>2430</v>
      </c>
      <c r="B113" s="369" t="s">
        <v>2420</v>
      </c>
      <c r="C113" s="369" t="s">
        <v>494</v>
      </c>
      <c r="D113" s="372">
        <v>0</v>
      </c>
      <c r="E113" s="372">
        <v>0</v>
      </c>
      <c r="F113" s="372">
        <v>0</v>
      </c>
      <c r="G113" s="372">
        <v>0</v>
      </c>
      <c r="H113" s="372">
        <v>0</v>
      </c>
      <c r="I113" s="372">
        <v>0</v>
      </c>
      <c r="J113" s="372">
        <v>0</v>
      </c>
      <c r="K113" s="372">
        <v>0</v>
      </c>
      <c r="L113" s="372">
        <v>0</v>
      </c>
      <c r="M113" s="372">
        <v>0</v>
      </c>
      <c r="N113" s="372">
        <v>0</v>
      </c>
      <c r="O113" s="372">
        <v>0</v>
      </c>
      <c r="P113" s="372">
        <v>0</v>
      </c>
      <c r="Q113" s="372">
        <v>0</v>
      </c>
      <c r="R113" s="372">
        <v>0</v>
      </c>
      <c r="S113" s="372">
        <v>0</v>
      </c>
    </row>
    <row r="114" spans="1:19" ht="12.75">
      <c r="A114" s="369" t="s">
        <v>1215</v>
      </c>
      <c r="B114" s="369" t="s">
        <v>2500</v>
      </c>
      <c r="C114" s="369" t="s">
        <v>495</v>
      </c>
      <c r="D114" s="372">
        <v>0</v>
      </c>
      <c r="E114" s="372">
        <v>0</v>
      </c>
      <c r="F114" s="372">
        <v>0</v>
      </c>
      <c r="G114" s="372">
        <v>0</v>
      </c>
      <c r="H114" s="372">
        <v>0</v>
      </c>
      <c r="I114" s="372">
        <v>0</v>
      </c>
      <c r="J114" s="372">
        <v>0</v>
      </c>
      <c r="K114" s="372">
        <v>0</v>
      </c>
      <c r="L114" s="372">
        <v>0</v>
      </c>
      <c r="M114" s="372">
        <v>0</v>
      </c>
      <c r="N114" s="372">
        <v>0</v>
      </c>
      <c r="O114" s="372">
        <v>0</v>
      </c>
      <c r="P114" s="372">
        <v>0</v>
      </c>
      <c r="Q114" s="372">
        <v>0</v>
      </c>
      <c r="R114" s="372">
        <v>0</v>
      </c>
      <c r="S114" s="372">
        <v>0</v>
      </c>
    </row>
    <row r="115" spans="1:19" ht="12.75">
      <c r="A115" s="369" t="s">
        <v>1974</v>
      </c>
      <c r="B115" s="369" t="s">
        <v>2421</v>
      </c>
      <c r="C115" s="369" t="s">
        <v>496</v>
      </c>
      <c r="D115" s="372">
        <v>0</v>
      </c>
      <c r="E115" s="372">
        <v>0</v>
      </c>
      <c r="F115" s="372">
        <v>0</v>
      </c>
      <c r="G115" s="372">
        <v>0</v>
      </c>
      <c r="H115" s="372">
        <v>0</v>
      </c>
      <c r="I115" s="372">
        <v>0</v>
      </c>
      <c r="J115" s="372">
        <v>0</v>
      </c>
      <c r="K115" s="372">
        <v>0</v>
      </c>
      <c r="L115" s="372">
        <v>0</v>
      </c>
      <c r="M115" s="372">
        <v>0</v>
      </c>
      <c r="N115" s="372">
        <v>0</v>
      </c>
      <c r="O115" s="372">
        <v>0</v>
      </c>
      <c r="P115" s="372">
        <v>0</v>
      </c>
      <c r="Q115" s="372">
        <v>0</v>
      </c>
      <c r="R115" s="372">
        <v>0</v>
      </c>
      <c r="S115" s="372">
        <v>0</v>
      </c>
    </row>
    <row r="116" spans="1:19" ht="12.75">
      <c r="A116" s="369" t="s">
        <v>1975</v>
      </c>
      <c r="B116" s="369" t="s">
        <v>2422</v>
      </c>
      <c r="C116" s="369" t="s">
        <v>497</v>
      </c>
      <c r="D116" s="372">
        <v>0</v>
      </c>
      <c r="E116" s="372">
        <v>0</v>
      </c>
      <c r="F116" s="372">
        <v>0</v>
      </c>
      <c r="G116" s="372">
        <v>0</v>
      </c>
      <c r="H116" s="372">
        <v>0</v>
      </c>
      <c r="I116" s="372">
        <v>0</v>
      </c>
      <c r="J116" s="372">
        <v>0</v>
      </c>
      <c r="K116" s="372">
        <v>0</v>
      </c>
      <c r="L116" s="372">
        <v>0</v>
      </c>
      <c r="M116" s="372">
        <v>0</v>
      </c>
      <c r="N116" s="372">
        <v>1</v>
      </c>
      <c r="O116" s="372">
        <v>0</v>
      </c>
      <c r="P116" s="372">
        <v>0</v>
      </c>
      <c r="Q116" s="372">
        <v>0</v>
      </c>
      <c r="R116" s="372">
        <v>0</v>
      </c>
      <c r="S116" s="372">
        <v>0</v>
      </c>
    </row>
    <row r="117" spans="1:19" ht="12.75">
      <c r="A117" s="369" t="s">
        <v>1976</v>
      </c>
      <c r="B117" s="369" t="s">
        <v>53</v>
      </c>
      <c r="C117" s="369" t="s">
        <v>498</v>
      </c>
      <c r="D117" s="372">
        <v>0</v>
      </c>
      <c r="E117" s="372">
        <v>0</v>
      </c>
      <c r="F117" s="372">
        <v>0</v>
      </c>
      <c r="G117" s="372">
        <v>0</v>
      </c>
      <c r="H117" s="372">
        <v>0</v>
      </c>
      <c r="I117" s="372">
        <v>0</v>
      </c>
      <c r="J117" s="372">
        <v>0</v>
      </c>
      <c r="K117" s="372">
        <v>0</v>
      </c>
      <c r="L117" s="372">
        <v>0</v>
      </c>
      <c r="M117" s="372">
        <v>0</v>
      </c>
      <c r="N117" s="372">
        <v>0</v>
      </c>
      <c r="O117" s="372">
        <v>0</v>
      </c>
      <c r="P117" s="372">
        <v>0</v>
      </c>
      <c r="Q117" s="372">
        <v>0</v>
      </c>
      <c r="R117" s="372">
        <v>0</v>
      </c>
      <c r="S117" s="372">
        <v>0</v>
      </c>
    </row>
    <row r="118" spans="1:19" ht="12.75">
      <c r="A118" s="369" t="s">
        <v>1766</v>
      </c>
      <c r="B118" s="369" t="s">
        <v>2439</v>
      </c>
      <c r="C118" s="369" t="s">
        <v>499</v>
      </c>
      <c r="D118" s="372">
        <v>0</v>
      </c>
      <c r="E118" s="372">
        <v>0</v>
      </c>
      <c r="F118" s="372">
        <v>0</v>
      </c>
      <c r="G118" s="372">
        <v>0</v>
      </c>
      <c r="H118" s="372">
        <v>0</v>
      </c>
      <c r="I118" s="372">
        <v>0</v>
      </c>
      <c r="J118" s="372">
        <v>0</v>
      </c>
      <c r="K118" s="372">
        <v>0</v>
      </c>
      <c r="L118" s="372">
        <v>0</v>
      </c>
      <c r="M118" s="372">
        <v>0</v>
      </c>
      <c r="N118" s="372">
        <v>0</v>
      </c>
      <c r="O118" s="372">
        <v>0</v>
      </c>
      <c r="P118" s="372">
        <v>0</v>
      </c>
      <c r="Q118" s="372">
        <v>0</v>
      </c>
      <c r="R118" s="372">
        <v>1</v>
      </c>
      <c r="S118" s="372">
        <v>0</v>
      </c>
    </row>
    <row r="119" spans="1:19" ht="12.75">
      <c r="A119" s="369" t="s">
        <v>1868</v>
      </c>
      <c r="B119" s="369" t="s">
        <v>1867</v>
      </c>
      <c r="C119" s="369" t="s">
        <v>500</v>
      </c>
      <c r="D119" s="372">
        <v>0</v>
      </c>
      <c r="E119" s="372">
        <v>0</v>
      </c>
      <c r="F119" s="372">
        <v>0</v>
      </c>
      <c r="G119" s="372">
        <v>0</v>
      </c>
      <c r="H119" s="372">
        <v>0</v>
      </c>
      <c r="I119" s="372">
        <v>0</v>
      </c>
      <c r="J119" s="372">
        <v>0</v>
      </c>
      <c r="K119" s="372">
        <v>0</v>
      </c>
      <c r="L119" s="372">
        <v>0</v>
      </c>
      <c r="M119" s="372">
        <v>0</v>
      </c>
      <c r="N119" s="372">
        <v>0</v>
      </c>
      <c r="O119" s="372">
        <v>0</v>
      </c>
      <c r="P119" s="372">
        <v>0</v>
      </c>
      <c r="Q119" s="372">
        <v>0</v>
      </c>
      <c r="R119" s="372">
        <v>0</v>
      </c>
      <c r="S119" s="372">
        <v>0</v>
      </c>
    </row>
    <row r="120" spans="1:19" ht="12.75">
      <c r="A120" s="369" t="s">
        <v>1767</v>
      </c>
      <c r="B120" s="369" t="s">
        <v>2423</v>
      </c>
      <c r="C120" s="369" t="s">
        <v>501</v>
      </c>
      <c r="D120" s="372">
        <v>0</v>
      </c>
      <c r="E120" s="372">
        <v>0</v>
      </c>
      <c r="F120" s="372">
        <v>0</v>
      </c>
      <c r="G120" s="372">
        <v>0</v>
      </c>
      <c r="H120" s="372">
        <v>0</v>
      </c>
      <c r="I120" s="372">
        <v>0</v>
      </c>
      <c r="J120" s="372">
        <v>1</v>
      </c>
      <c r="K120" s="372">
        <v>0</v>
      </c>
      <c r="L120" s="372">
        <v>0</v>
      </c>
      <c r="M120" s="372">
        <v>1</v>
      </c>
      <c r="N120" s="372">
        <v>0</v>
      </c>
      <c r="O120" s="372">
        <v>0</v>
      </c>
      <c r="P120" s="372">
        <v>0</v>
      </c>
      <c r="Q120" s="372">
        <v>1</v>
      </c>
      <c r="R120" s="372">
        <v>0</v>
      </c>
      <c r="S120" s="372">
        <v>0</v>
      </c>
    </row>
    <row r="121" spans="1:19" ht="12.75">
      <c r="A121" s="369" t="s">
        <v>1768</v>
      </c>
      <c r="B121" s="369" t="s">
        <v>2424</v>
      </c>
      <c r="C121" s="369" t="s">
        <v>502</v>
      </c>
      <c r="D121" s="372">
        <v>0</v>
      </c>
      <c r="E121" s="372">
        <v>0</v>
      </c>
      <c r="F121" s="372">
        <v>0</v>
      </c>
      <c r="G121" s="372">
        <v>1</v>
      </c>
      <c r="H121" s="372">
        <v>1</v>
      </c>
      <c r="I121" s="372">
        <v>0</v>
      </c>
      <c r="J121" s="372">
        <v>0</v>
      </c>
      <c r="K121" s="372">
        <v>0</v>
      </c>
      <c r="L121" s="372">
        <v>0</v>
      </c>
      <c r="M121" s="372">
        <v>0</v>
      </c>
      <c r="N121" s="372">
        <v>0</v>
      </c>
      <c r="O121" s="372">
        <v>0</v>
      </c>
      <c r="P121" s="372">
        <v>0</v>
      </c>
      <c r="Q121" s="372">
        <v>0</v>
      </c>
      <c r="R121" s="372">
        <v>0</v>
      </c>
      <c r="S121" s="372">
        <v>0</v>
      </c>
    </row>
    <row r="122" spans="1:19" ht="12.75">
      <c r="A122" s="369" t="s">
        <v>1769</v>
      </c>
      <c r="B122" s="369" t="s">
        <v>2425</v>
      </c>
      <c r="C122" s="369" t="s">
        <v>503</v>
      </c>
      <c r="D122" s="372">
        <v>1</v>
      </c>
      <c r="E122" s="372">
        <v>0</v>
      </c>
      <c r="F122" s="372">
        <v>0</v>
      </c>
      <c r="G122" s="372">
        <v>0</v>
      </c>
      <c r="H122" s="372">
        <v>0</v>
      </c>
      <c r="I122" s="372">
        <v>1</v>
      </c>
      <c r="J122" s="372">
        <v>1</v>
      </c>
      <c r="K122" s="372">
        <v>0</v>
      </c>
      <c r="L122" s="372">
        <v>0</v>
      </c>
      <c r="M122" s="372">
        <v>0</v>
      </c>
      <c r="N122" s="372">
        <v>0</v>
      </c>
      <c r="O122" s="372">
        <v>0</v>
      </c>
      <c r="P122" s="372">
        <v>0</v>
      </c>
      <c r="Q122" s="372">
        <v>0</v>
      </c>
      <c r="R122" s="372">
        <v>0</v>
      </c>
      <c r="S122" s="372">
        <v>1</v>
      </c>
    </row>
    <row r="123" spans="1:19" ht="12.75">
      <c r="A123" s="369" t="s">
        <v>1752</v>
      </c>
      <c r="B123" s="369" t="s">
        <v>1751</v>
      </c>
      <c r="C123" s="369" t="s">
        <v>504</v>
      </c>
      <c r="D123" s="372">
        <v>0</v>
      </c>
      <c r="E123" s="372">
        <v>0</v>
      </c>
      <c r="F123" s="372">
        <v>0</v>
      </c>
      <c r="G123" s="372">
        <v>0</v>
      </c>
      <c r="H123" s="372">
        <v>0</v>
      </c>
      <c r="I123" s="372">
        <v>0</v>
      </c>
      <c r="J123" s="372">
        <v>0</v>
      </c>
      <c r="K123" s="372">
        <v>0</v>
      </c>
      <c r="L123" s="372">
        <v>0</v>
      </c>
      <c r="M123" s="372">
        <v>0</v>
      </c>
      <c r="N123" s="372">
        <v>0</v>
      </c>
      <c r="O123" s="372">
        <v>0</v>
      </c>
      <c r="P123" s="372">
        <v>0</v>
      </c>
      <c r="Q123" s="372">
        <v>0</v>
      </c>
      <c r="R123" s="372">
        <v>0</v>
      </c>
      <c r="S123" s="372">
        <v>0</v>
      </c>
    </row>
    <row r="124" spans="1:19" ht="12.75">
      <c r="A124" s="369" t="s">
        <v>1660</v>
      </c>
      <c r="B124" s="369" t="s">
        <v>2440</v>
      </c>
      <c r="C124" s="369" t="s">
        <v>505</v>
      </c>
      <c r="D124" s="372">
        <v>0</v>
      </c>
      <c r="E124" s="372">
        <v>0</v>
      </c>
      <c r="F124" s="372">
        <v>0</v>
      </c>
      <c r="G124" s="372">
        <v>0</v>
      </c>
      <c r="H124" s="372">
        <v>0</v>
      </c>
      <c r="I124" s="372">
        <v>0</v>
      </c>
      <c r="J124" s="372">
        <v>0</v>
      </c>
      <c r="K124" s="372">
        <v>0</v>
      </c>
      <c r="L124" s="372">
        <v>0</v>
      </c>
      <c r="M124" s="372">
        <v>0</v>
      </c>
      <c r="N124" s="372">
        <v>0</v>
      </c>
      <c r="O124" s="372">
        <v>0</v>
      </c>
      <c r="P124" s="372">
        <v>0</v>
      </c>
      <c r="Q124" s="372">
        <v>0</v>
      </c>
      <c r="R124" s="372">
        <v>0</v>
      </c>
      <c r="S124" s="372">
        <v>0</v>
      </c>
    </row>
    <row r="125" spans="1:19" ht="12.75">
      <c r="A125" s="369" t="s">
        <v>1580</v>
      </c>
      <c r="B125" s="369" t="s">
        <v>2426</v>
      </c>
      <c r="C125" s="369" t="s">
        <v>506</v>
      </c>
      <c r="D125" s="372">
        <v>0</v>
      </c>
      <c r="E125" s="372">
        <v>0</v>
      </c>
      <c r="F125" s="372">
        <v>0</v>
      </c>
      <c r="G125" s="372">
        <v>0</v>
      </c>
      <c r="H125" s="372">
        <v>0</v>
      </c>
      <c r="I125" s="372">
        <v>0</v>
      </c>
      <c r="J125" s="372">
        <v>0</v>
      </c>
      <c r="K125" s="372">
        <v>0</v>
      </c>
      <c r="L125" s="372">
        <v>0</v>
      </c>
      <c r="M125" s="372">
        <v>0</v>
      </c>
      <c r="N125" s="372">
        <v>0</v>
      </c>
      <c r="O125" s="372">
        <v>0</v>
      </c>
      <c r="P125" s="372">
        <v>0</v>
      </c>
      <c r="Q125" s="372">
        <v>0</v>
      </c>
      <c r="R125" s="372">
        <v>0</v>
      </c>
      <c r="S125" s="372">
        <v>0</v>
      </c>
    </row>
    <row r="126" spans="1:19" ht="12.75">
      <c r="A126" s="369" t="s">
        <v>2270</v>
      </c>
      <c r="B126" s="369" t="s">
        <v>2270</v>
      </c>
      <c r="C126" s="369" t="s">
        <v>507</v>
      </c>
      <c r="D126" s="372">
        <v>0</v>
      </c>
      <c r="E126" s="372">
        <v>0</v>
      </c>
      <c r="F126" s="372">
        <v>0</v>
      </c>
      <c r="G126" s="372">
        <v>0</v>
      </c>
      <c r="H126" s="372">
        <v>0</v>
      </c>
      <c r="I126" s="372">
        <v>0</v>
      </c>
      <c r="J126" s="372">
        <v>0</v>
      </c>
      <c r="K126" s="372">
        <v>0</v>
      </c>
      <c r="L126" s="372">
        <v>0</v>
      </c>
      <c r="M126" s="372">
        <v>0</v>
      </c>
      <c r="N126" s="372">
        <v>0</v>
      </c>
      <c r="O126" s="372">
        <v>0</v>
      </c>
      <c r="P126" s="372">
        <v>0</v>
      </c>
      <c r="Q126" s="372">
        <v>0</v>
      </c>
      <c r="R126" s="372">
        <v>0</v>
      </c>
      <c r="S126" s="372">
        <v>0</v>
      </c>
    </row>
    <row r="127" spans="1:19" ht="12.75">
      <c r="A127" s="369" t="s">
        <v>1581</v>
      </c>
      <c r="B127" s="369" t="s">
        <v>2441</v>
      </c>
      <c r="C127" s="369" t="s">
        <v>508</v>
      </c>
      <c r="D127" s="372">
        <v>0</v>
      </c>
      <c r="E127" s="372">
        <v>0</v>
      </c>
      <c r="F127" s="372">
        <v>0</v>
      </c>
      <c r="G127" s="372">
        <v>0</v>
      </c>
      <c r="H127" s="372">
        <v>0</v>
      </c>
      <c r="I127" s="372">
        <v>0</v>
      </c>
      <c r="J127" s="372">
        <v>0</v>
      </c>
      <c r="K127" s="372">
        <v>0</v>
      </c>
      <c r="L127" s="372">
        <v>0</v>
      </c>
      <c r="M127" s="372">
        <v>0</v>
      </c>
      <c r="N127" s="372">
        <v>0</v>
      </c>
      <c r="O127" s="372">
        <v>0</v>
      </c>
      <c r="P127" s="372">
        <v>0</v>
      </c>
      <c r="Q127" s="372">
        <v>0</v>
      </c>
      <c r="R127" s="372">
        <v>0</v>
      </c>
      <c r="S127" s="372">
        <v>0</v>
      </c>
    </row>
    <row r="128" spans="1:19" ht="12.75">
      <c r="A128" s="369" t="s">
        <v>1498</v>
      </c>
      <c r="B128" s="369" t="s">
        <v>1499</v>
      </c>
      <c r="C128" s="369" t="s">
        <v>509</v>
      </c>
      <c r="D128" s="372">
        <v>0</v>
      </c>
      <c r="E128" s="372">
        <v>0</v>
      </c>
      <c r="F128" s="372">
        <v>0</v>
      </c>
      <c r="G128" s="372">
        <v>0</v>
      </c>
      <c r="H128" s="372">
        <v>0</v>
      </c>
      <c r="I128" s="372">
        <v>0</v>
      </c>
      <c r="J128" s="372">
        <v>0</v>
      </c>
      <c r="K128" s="372">
        <v>0</v>
      </c>
      <c r="L128" s="372">
        <v>0</v>
      </c>
      <c r="M128" s="372">
        <v>0</v>
      </c>
      <c r="N128" s="372">
        <v>0</v>
      </c>
      <c r="O128" s="372">
        <v>0</v>
      </c>
      <c r="P128" s="372">
        <v>0</v>
      </c>
      <c r="Q128" s="372">
        <v>0</v>
      </c>
      <c r="R128" s="372">
        <v>0</v>
      </c>
      <c r="S128" s="372">
        <v>0</v>
      </c>
    </row>
    <row r="129" spans="1:19" ht="12.75">
      <c r="A129" s="369" t="s">
        <v>2076</v>
      </c>
      <c r="B129" s="369" t="s">
        <v>2075</v>
      </c>
      <c r="C129" s="369" t="s">
        <v>510</v>
      </c>
      <c r="D129" s="372">
        <v>0</v>
      </c>
      <c r="E129" s="372">
        <v>0</v>
      </c>
      <c r="F129" s="372">
        <v>0</v>
      </c>
      <c r="G129" s="372">
        <v>0</v>
      </c>
      <c r="H129" s="372">
        <v>0</v>
      </c>
      <c r="I129" s="372">
        <v>0</v>
      </c>
      <c r="J129" s="372">
        <v>0</v>
      </c>
      <c r="K129" s="372">
        <v>0</v>
      </c>
      <c r="L129" s="372">
        <v>0</v>
      </c>
      <c r="M129" s="372">
        <v>0</v>
      </c>
      <c r="N129" s="372">
        <v>0</v>
      </c>
      <c r="O129" s="372">
        <v>0</v>
      </c>
      <c r="P129" s="372">
        <v>0</v>
      </c>
      <c r="Q129" s="372">
        <v>0</v>
      </c>
      <c r="R129" s="372">
        <v>0</v>
      </c>
      <c r="S129" s="372">
        <v>0</v>
      </c>
    </row>
    <row r="130" spans="1:19" ht="12.75">
      <c r="A130" s="369" t="s">
        <v>1545</v>
      </c>
      <c r="B130" s="369" t="s">
        <v>166</v>
      </c>
      <c r="C130" s="369" t="s">
        <v>511</v>
      </c>
      <c r="D130" s="372">
        <v>0</v>
      </c>
      <c r="E130" s="372">
        <v>0</v>
      </c>
      <c r="F130" s="372">
        <v>0</v>
      </c>
      <c r="G130" s="372">
        <v>0</v>
      </c>
      <c r="H130" s="372">
        <v>0</v>
      </c>
      <c r="I130" s="372">
        <v>0</v>
      </c>
      <c r="J130" s="372">
        <v>1</v>
      </c>
      <c r="K130" s="372">
        <v>0</v>
      </c>
      <c r="L130" s="372">
        <v>0</v>
      </c>
      <c r="M130" s="372">
        <v>0</v>
      </c>
      <c r="N130" s="372">
        <v>0</v>
      </c>
      <c r="O130" s="372">
        <v>0</v>
      </c>
      <c r="P130" s="372">
        <v>0</v>
      </c>
      <c r="Q130" s="372">
        <v>0</v>
      </c>
      <c r="R130" s="372">
        <v>0</v>
      </c>
      <c r="S130" s="372">
        <v>0</v>
      </c>
    </row>
    <row r="131" spans="1:19" ht="12.75">
      <c r="A131" s="369" t="s">
        <v>1500</v>
      </c>
      <c r="B131" s="369" t="s">
        <v>1501</v>
      </c>
      <c r="C131" s="369" t="s">
        <v>512</v>
      </c>
      <c r="D131" s="372">
        <v>0</v>
      </c>
      <c r="E131" s="372">
        <v>0</v>
      </c>
      <c r="F131" s="372">
        <v>0</v>
      </c>
      <c r="G131" s="372">
        <v>0</v>
      </c>
      <c r="H131" s="372">
        <v>0</v>
      </c>
      <c r="I131" s="372">
        <v>0</v>
      </c>
      <c r="J131" s="372">
        <v>0</v>
      </c>
      <c r="K131" s="372">
        <v>0</v>
      </c>
      <c r="L131" s="372">
        <v>0</v>
      </c>
      <c r="M131" s="372">
        <v>0</v>
      </c>
      <c r="N131" s="372">
        <v>0</v>
      </c>
      <c r="O131" s="372">
        <v>0</v>
      </c>
      <c r="P131" s="372">
        <v>0</v>
      </c>
      <c r="Q131" s="372">
        <v>0</v>
      </c>
      <c r="R131" s="372">
        <v>0</v>
      </c>
      <c r="S131" s="372">
        <v>0</v>
      </c>
    </row>
    <row r="132" spans="1:19" ht="12.75">
      <c r="A132" s="369" t="s">
        <v>1547</v>
      </c>
      <c r="B132" s="369" t="s">
        <v>1546</v>
      </c>
      <c r="C132" s="369"/>
      <c r="D132" s="372">
        <v>0</v>
      </c>
      <c r="E132" s="372">
        <v>0</v>
      </c>
      <c r="F132" s="372">
        <v>0</v>
      </c>
      <c r="G132" s="372">
        <v>0</v>
      </c>
      <c r="H132" s="372">
        <v>0</v>
      </c>
      <c r="I132" s="372">
        <v>0</v>
      </c>
      <c r="J132" s="372">
        <v>0</v>
      </c>
      <c r="K132" s="372">
        <v>0</v>
      </c>
      <c r="L132" s="372">
        <v>0</v>
      </c>
      <c r="M132" s="372">
        <v>0</v>
      </c>
      <c r="N132" s="372">
        <v>0</v>
      </c>
      <c r="O132" s="372">
        <v>0</v>
      </c>
      <c r="P132" s="372">
        <v>0</v>
      </c>
      <c r="Q132" s="372">
        <v>0</v>
      </c>
      <c r="R132" s="372">
        <v>0</v>
      </c>
      <c r="S132" s="372">
        <v>0</v>
      </c>
    </row>
    <row r="133" spans="1:19" ht="12.75">
      <c r="A133" s="369" t="s">
        <v>1434</v>
      </c>
      <c r="B133" s="369" t="s">
        <v>1764</v>
      </c>
      <c r="C133" s="369" t="s">
        <v>513</v>
      </c>
      <c r="D133" s="372">
        <v>1</v>
      </c>
      <c r="E133" s="372">
        <v>0</v>
      </c>
      <c r="F133" s="372">
        <v>0</v>
      </c>
      <c r="G133" s="372">
        <v>0</v>
      </c>
      <c r="H133" s="372">
        <v>0</v>
      </c>
      <c r="I133" s="372">
        <v>0</v>
      </c>
      <c r="J133" s="372">
        <v>0</v>
      </c>
      <c r="K133" s="372">
        <v>0</v>
      </c>
      <c r="L133" s="372">
        <v>0</v>
      </c>
      <c r="M133" s="372">
        <v>0</v>
      </c>
      <c r="N133" s="372">
        <v>0</v>
      </c>
      <c r="O133" s="372">
        <v>0</v>
      </c>
      <c r="P133" s="372">
        <v>0</v>
      </c>
      <c r="Q133" s="372">
        <v>0</v>
      </c>
      <c r="R133" s="372">
        <v>0</v>
      </c>
      <c r="S133" s="372">
        <v>0</v>
      </c>
    </row>
    <row r="134" spans="1:19" ht="12.75">
      <c r="A134" s="369" t="s">
        <v>1356</v>
      </c>
      <c r="B134" s="369" t="s">
        <v>1548</v>
      </c>
      <c r="C134" s="369" t="s">
        <v>514</v>
      </c>
      <c r="D134" s="372">
        <v>0</v>
      </c>
      <c r="E134" s="372">
        <v>0</v>
      </c>
      <c r="F134" s="372">
        <v>0</v>
      </c>
      <c r="G134" s="372">
        <v>0</v>
      </c>
      <c r="H134" s="372">
        <v>0</v>
      </c>
      <c r="I134" s="372">
        <v>0</v>
      </c>
      <c r="J134" s="372">
        <v>0</v>
      </c>
      <c r="K134" s="372">
        <v>0</v>
      </c>
      <c r="L134" s="372">
        <v>0</v>
      </c>
      <c r="M134" s="372">
        <v>0</v>
      </c>
      <c r="N134" s="372">
        <v>0</v>
      </c>
      <c r="O134" s="372">
        <v>0</v>
      </c>
      <c r="P134" s="372">
        <v>0</v>
      </c>
      <c r="Q134" s="372">
        <v>0</v>
      </c>
      <c r="R134" s="372">
        <v>0</v>
      </c>
      <c r="S134" s="372">
        <v>0</v>
      </c>
    </row>
    <row r="135" spans="1:19" ht="12.75">
      <c r="A135" s="369" t="s">
        <v>1725</v>
      </c>
      <c r="B135" s="369" t="s">
        <v>1357</v>
      </c>
      <c r="C135" s="369" t="s">
        <v>515</v>
      </c>
      <c r="D135" s="372">
        <v>0</v>
      </c>
      <c r="E135" s="372">
        <v>0</v>
      </c>
      <c r="F135" s="372">
        <v>0</v>
      </c>
      <c r="G135" s="372">
        <v>0</v>
      </c>
      <c r="H135" s="372">
        <v>0</v>
      </c>
      <c r="I135" s="372">
        <v>0</v>
      </c>
      <c r="J135" s="372">
        <v>0</v>
      </c>
      <c r="K135" s="372">
        <v>0</v>
      </c>
      <c r="L135" s="372">
        <v>0</v>
      </c>
      <c r="M135" s="372">
        <v>0</v>
      </c>
      <c r="N135" s="372">
        <v>0</v>
      </c>
      <c r="O135" s="372">
        <v>0</v>
      </c>
      <c r="P135" s="372">
        <v>0</v>
      </c>
      <c r="Q135" s="372">
        <v>0</v>
      </c>
      <c r="R135" s="372">
        <v>0</v>
      </c>
      <c r="S135" s="372">
        <v>0</v>
      </c>
    </row>
    <row r="136" spans="1:19" ht="12.75">
      <c r="A136" s="369" t="s">
        <v>1323</v>
      </c>
      <c r="B136" s="369" t="s">
        <v>1322</v>
      </c>
      <c r="C136" s="369" t="s">
        <v>516</v>
      </c>
      <c r="D136" s="372">
        <v>0</v>
      </c>
      <c r="E136" s="372">
        <v>0</v>
      </c>
      <c r="F136" s="372">
        <v>0</v>
      </c>
      <c r="G136" s="372">
        <v>0</v>
      </c>
      <c r="H136" s="372">
        <v>0</v>
      </c>
      <c r="I136" s="372">
        <v>0</v>
      </c>
      <c r="J136" s="372">
        <v>0</v>
      </c>
      <c r="K136" s="372">
        <v>0</v>
      </c>
      <c r="L136" s="372">
        <v>0</v>
      </c>
      <c r="M136" s="372">
        <v>0</v>
      </c>
      <c r="N136" s="372">
        <v>0</v>
      </c>
      <c r="O136" s="372">
        <v>0</v>
      </c>
      <c r="P136" s="372">
        <v>0</v>
      </c>
      <c r="Q136" s="372">
        <v>0</v>
      </c>
      <c r="R136" s="372">
        <v>0</v>
      </c>
      <c r="S136" s="372">
        <v>0</v>
      </c>
    </row>
    <row r="137" spans="1:19" ht="12.75">
      <c r="A137" s="369" t="s">
        <v>2316</v>
      </c>
      <c r="B137" s="369" t="s">
        <v>1773</v>
      </c>
      <c r="C137" s="369" t="s">
        <v>517</v>
      </c>
      <c r="D137" s="372">
        <v>0</v>
      </c>
      <c r="E137" s="372">
        <v>0</v>
      </c>
      <c r="F137" s="372">
        <v>0</v>
      </c>
      <c r="G137" s="372">
        <v>0</v>
      </c>
      <c r="H137" s="372">
        <v>0</v>
      </c>
      <c r="I137" s="372">
        <v>0</v>
      </c>
      <c r="J137" s="372">
        <v>0</v>
      </c>
      <c r="K137" s="372">
        <v>0</v>
      </c>
      <c r="L137" s="372">
        <v>0</v>
      </c>
      <c r="M137" s="372">
        <v>0</v>
      </c>
      <c r="N137" s="372">
        <v>0</v>
      </c>
      <c r="O137" s="372">
        <v>0</v>
      </c>
      <c r="P137" s="372">
        <v>0</v>
      </c>
      <c r="Q137" s="372">
        <v>0</v>
      </c>
      <c r="R137" s="372">
        <v>0</v>
      </c>
      <c r="S137" s="372">
        <v>0</v>
      </c>
    </row>
    <row r="138" spans="1:19" ht="12.75">
      <c r="A138" s="369" t="s">
        <v>1435</v>
      </c>
      <c r="B138" s="369" t="s">
        <v>1765</v>
      </c>
      <c r="C138" s="369" t="s">
        <v>518</v>
      </c>
      <c r="D138" s="372">
        <v>0</v>
      </c>
      <c r="E138" s="372">
        <v>0</v>
      </c>
      <c r="F138" s="372">
        <v>0</v>
      </c>
      <c r="G138" s="372">
        <v>1</v>
      </c>
      <c r="H138" s="372">
        <v>1</v>
      </c>
      <c r="I138" s="372">
        <v>0</v>
      </c>
      <c r="J138" s="372">
        <v>0</v>
      </c>
      <c r="K138" s="372">
        <v>0</v>
      </c>
      <c r="L138" s="372">
        <v>0</v>
      </c>
      <c r="M138" s="372">
        <v>0</v>
      </c>
      <c r="N138" s="372">
        <v>1</v>
      </c>
      <c r="O138" s="372">
        <v>1</v>
      </c>
      <c r="P138" s="372">
        <v>0</v>
      </c>
      <c r="Q138" s="372">
        <v>0</v>
      </c>
      <c r="R138" s="372">
        <v>0</v>
      </c>
      <c r="S138" s="372">
        <v>0</v>
      </c>
    </row>
    <row r="139" spans="1:19" ht="12.75">
      <c r="A139" s="369" t="s">
        <v>1772</v>
      </c>
      <c r="B139" s="369" t="s">
        <v>1771</v>
      </c>
      <c r="C139" s="369" t="s">
        <v>519</v>
      </c>
      <c r="D139" s="372">
        <v>0</v>
      </c>
      <c r="E139" s="372">
        <v>0</v>
      </c>
      <c r="F139" s="372">
        <v>0</v>
      </c>
      <c r="G139" s="372">
        <v>0</v>
      </c>
      <c r="H139" s="372">
        <v>0</v>
      </c>
      <c r="I139" s="372">
        <v>0</v>
      </c>
      <c r="J139" s="372">
        <v>0</v>
      </c>
      <c r="K139" s="372">
        <v>0</v>
      </c>
      <c r="L139" s="372">
        <v>0</v>
      </c>
      <c r="M139" s="372">
        <v>0</v>
      </c>
      <c r="N139" s="372">
        <v>0</v>
      </c>
      <c r="O139" s="372">
        <v>0</v>
      </c>
      <c r="P139" s="372">
        <v>0</v>
      </c>
      <c r="Q139" s="372">
        <v>0</v>
      </c>
      <c r="R139" s="372">
        <v>0</v>
      </c>
      <c r="S139" s="372">
        <v>0</v>
      </c>
    </row>
    <row r="140" spans="1:19" ht="12.75">
      <c r="A140" s="369" t="s">
        <v>119</v>
      </c>
      <c r="B140" s="369" t="s">
        <v>2317</v>
      </c>
      <c r="C140" s="369" t="s">
        <v>520</v>
      </c>
      <c r="D140" s="372">
        <v>0</v>
      </c>
      <c r="E140" s="372">
        <v>0</v>
      </c>
      <c r="F140" s="372">
        <v>0</v>
      </c>
      <c r="G140" s="372">
        <v>0</v>
      </c>
      <c r="H140" s="372">
        <v>0</v>
      </c>
      <c r="I140" s="372">
        <v>0</v>
      </c>
      <c r="J140" s="372">
        <v>0</v>
      </c>
      <c r="K140" s="372">
        <v>0</v>
      </c>
      <c r="L140" s="372">
        <v>0</v>
      </c>
      <c r="M140" s="372">
        <v>0</v>
      </c>
      <c r="N140" s="372">
        <v>0</v>
      </c>
      <c r="O140" s="372">
        <v>0</v>
      </c>
      <c r="P140" s="372">
        <v>0</v>
      </c>
      <c r="Q140" s="372">
        <v>0</v>
      </c>
      <c r="R140" s="372">
        <v>0</v>
      </c>
      <c r="S140" s="372">
        <v>0</v>
      </c>
    </row>
    <row r="141" spans="1:19" ht="12.75">
      <c r="A141" s="369" t="s">
        <v>1436</v>
      </c>
      <c r="B141" s="369" t="s">
        <v>1849</v>
      </c>
      <c r="C141" s="369" t="s">
        <v>521</v>
      </c>
      <c r="D141" s="372">
        <v>1</v>
      </c>
      <c r="E141" s="372">
        <v>1</v>
      </c>
      <c r="F141" s="372">
        <v>1</v>
      </c>
      <c r="G141" s="372">
        <v>1</v>
      </c>
      <c r="H141" s="372">
        <v>1</v>
      </c>
      <c r="I141" s="372">
        <v>1</v>
      </c>
      <c r="J141" s="372">
        <v>1</v>
      </c>
      <c r="K141" s="372">
        <v>0</v>
      </c>
      <c r="L141" s="372">
        <v>1</v>
      </c>
      <c r="M141" s="372">
        <v>1</v>
      </c>
      <c r="N141" s="372">
        <v>0</v>
      </c>
      <c r="O141" s="372">
        <v>1</v>
      </c>
      <c r="P141" s="372">
        <v>1</v>
      </c>
      <c r="Q141" s="372">
        <v>0</v>
      </c>
      <c r="R141" s="372">
        <v>0</v>
      </c>
      <c r="S141" s="372">
        <v>1</v>
      </c>
    </row>
    <row r="142" spans="1:19" ht="12.75">
      <c r="A142" s="369" t="s">
        <v>249</v>
      </c>
      <c r="B142" s="369" t="s">
        <v>1832</v>
      </c>
      <c r="C142" s="369" t="s">
        <v>522</v>
      </c>
      <c r="D142" s="372">
        <v>0</v>
      </c>
      <c r="E142" s="372">
        <v>0</v>
      </c>
      <c r="F142" s="372">
        <v>0</v>
      </c>
      <c r="G142" s="372">
        <v>0</v>
      </c>
      <c r="H142" s="372">
        <v>0</v>
      </c>
      <c r="I142" s="372">
        <v>0</v>
      </c>
      <c r="J142" s="372">
        <v>0</v>
      </c>
      <c r="K142" s="372">
        <v>0</v>
      </c>
      <c r="L142" s="372">
        <v>0</v>
      </c>
      <c r="M142" s="372">
        <v>0</v>
      </c>
      <c r="N142" s="372">
        <v>0</v>
      </c>
      <c r="O142" s="372">
        <v>0</v>
      </c>
      <c r="P142" s="372">
        <v>0</v>
      </c>
      <c r="Q142" s="372">
        <v>0</v>
      </c>
      <c r="R142" s="372">
        <v>0</v>
      </c>
      <c r="S142" s="372">
        <v>0</v>
      </c>
    </row>
    <row r="143" spans="1:19" ht="12.75">
      <c r="A143" s="369" t="s">
        <v>250</v>
      </c>
      <c r="B143" s="369" t="s">
        <v>1938</v>
      </c>
      <c r="C143" s="369" t="s">
        <v>523</v>
      </c>
      <c r="D143" s="372">
        <v>0</v>
      </c>
      <c r="E143" s="372">
        <v>0</v>
      </c>
      <c r="F143" s="372">
        <v>0</v>
      </c>
      <c r="G143" s="372">
        <v>0</v>
      </c>
      <c r="H143" s="372">
        <v>0</v>
      </c>
      <c r="I143" s="372">
        <v>0</v>
      </c>
      <c r="J143" s="372">
        <v>0</v>
      </c>
      <c r="K143" s="372">
        <v>0</v>
      </c>
      <c r="L143" s="372">
        <v>0</v>
      </c>
      <c r="M143" s="372">
        <v>0</v>
      </c>
      <c r="N143" s="372">
        <v>0</v>
      </c>
      <c r="O143" s="372">
        <v>0</v>
      </c>
      <c r="P143" s="372">
        <v>0</v>
      </c>
      <c r="Q143" s="372">
        <v>0</v>
      </c>
      <c r="R143" s="372">
        <v>0</v>
      </c>
      <c r="S143" s="372">
        <v>0</v>
      </c>
    </row>
    <row r="144" spans="1:19" ht="12.75">
      <c r="A144" s="369" t="s">
        <v>276</v>
      </c>
      <c r="B144" s="369" t="s">
        <v>1708</v>
      </c>
      <c r="C144" s="369" t="s">
        <v>524</v>
      </c>
      <c r="D144" s="372">
        <v>1</v>
      </c>
      <c r="E144" s="372">
        <v>1</v>
      </c>
      <c r="F144" s="372">
        <v>1</v>
      </c>
      <c r="G144" s="372">
        <v>1</v>
      </c>
      <c r="H144" s="372">
        <v>1</v>
      </c>
      <c r="I144" s="372">
        <v>1</v>
      </c>
      <c r="J144" s="372">
        <v>1</v>
      </c>
      <c r="K144" s="372">
        <v>1</v>
      </c>
      <c r="L144" s="372">
        <v>1</v>
      </c>
      <c r="M144" s="372">
        <v>1</v>
      </c>
      <c r="N144" s="372">
        <v>1</v>
      </c>
      <c r="O144" s="372">
        <v>1</v>
      </c>
      <c r="P144" s="372">
        <v>1</v>
      </c>
      <c r="Q144" s="372">
        <v>1</v>
      </c>
      <c r="R144" s="372">
        <v>1</v>
      </c>
      <c r="S144" s="372">
        <v>1</v>
      </c>
    </row>
    <row r="145" spans="1:19" ht="12.75">
      <c r="A145" s="369" t="s">
        <v>1657</v>
      </c>
      <c r="B145" s="369" t="s">
        <v>1850</v>
      </c>
      <c r="C145" s="369" t="s">
        <v>525</v>
      </c>
      <c r="D145" s="372">
        <v>0</v>
      </c>
      <c r="E145" s="372">
        <v>0</v>
      </c>
      <c r="F145" s="372">
        <v>0</v>
      </c>
      <c r="G145" s="372">
        <v>0</v>
      </c>
      <c r="H145" s="372">
        <v>0</v>
      </c>
      <c r="I145" s="372">
        <v>0</v>
      </c>
      <c r="J145" s="372">
        <v>0</v>
      </c>
      <c r="K145" s="372">
        <v>0</v>
      </c>
      <c r="L145" s="372">
        <v>0</v>
      </c>
      <c r="M145" s="372">
        <v>0</v>
      </c>
      <c r="N145" s="372">
        <v>0</v>
      </c>
      <c r="O145" s="372">
        <v>0</v>
      </c>
      <c r="P145" s="372">
        <v>0</v>
      </c>
      <c r="Q145" s="372">
        <v>0</v>
      </c>
      <c r="R145" s="372">
        <v>0</v>
      </c>
      <c r="S145" s="372">
        <v>0</v>
      </c>
    </row>
    <row r="146" spans="1:19" ht="12.75">
      <c r="A146" s="369" t="s">
        <v>121</v>
      </c>
      <c r="B146" s="369" t="s">
        <v>120</v>
      </c>
      <c r="C146" s="369" t="s">
        <v>526</v>
      </c>
      <c r="D146" s="372">
        <v>0</v>
      </c>
      <c r="E146" s="372">
        <v>0</v>
      </c>
      <c r="F146" s="372">
        <v>0</v>
      </c>
      <c r="G146" s="372">
        <v>0</v>
      </c>
      <c r="H146" s="372">
        <v>0</v>
      </c>
      <c r="I146" s="372">
        <v>0</v>
      </c>
      <c r="J146" s="372">
        <v>0</v>
      </c>
      <c r="K146" s="372">
        <v>0</v>
      </c>
      <c r="L146" s="372">
        <v>0</v>
      </c>
      <c r="M146" s="372">
        <v>0</v>
      </c>
      <c r="N146" s="372">
        <v>0</v>
      </c>
      <c r="O146" s="372">
        <v>0</v>
      </c>
      <c r="P146" s="372">
        <v>0</v>
      </c>
      <c r="Q146" s="372">
        <v>0</v>
      </c>
      <c r="R146" s="372">
        <v>0</v>
      </c>
      <c r="S146" s="372">
        <v>0</v>
      </c>
    </row>
    <row r="147" spans="1:19" ht="12.75">
      <c r="A147" s="369" t="s">
        <v>1414</v>
      </c>
      <c r="B147" s="369" t="s">
        <v>1216</v>
      </c>
      <c r="C147" s="369"/>
      <c r="D147" s="372">
        <v>0</v>
      </c>
      <c r="E147" s="372">
        <v>0</v>
      </c>
      <c r="F147" s="372">
        <v>0</v>
      </c>
      <c r="G147" s="372">
        <v>0</v>
      </c>
      <c r="H147" s="372">
        <v>0</v>
      </c>
      <c r="I147" s="372">
        <v>0</v>
      </c>
      <c r="J147" s="372">
        <v>0</v>
      </c>
      <c r="K147" s="372">
        <v>0</v>
      </c>
      <c r="L147" s="372">
        <v>0</v>
      </c>
      <c r="M147" s="372">
        <v>0</v>
      </c>
      <c r="N147" s="372">
        <v>0</v>
      </c>
      <c r="O147" s="372">
        <v>0</v>
      </c>
      <c r="P147" s="372">
        <v>0</v>
      </c>
      <c r="Q147" s="372">
        <v>0</v>
      </c>
      <c r="R147" s="372">
        <v>0</v>
      </c>
      <c r="S147" s="372">
        <v>0</v>
      </c>
    </row>
    <row r="148" spans="1:19" ht="12.75">
      <c r="A148" s="369" t="s">
        <v>277</v>
      </c>
      <c r="B148" s="369" t="s">
        <v>1997</v>
      </c>
      <c r="C148" s="369"/>
      <c r="D148" s="372">
        <v>0</v>
      </c>
      <c r="E148" s="372">
        <v>0</v>
      </c>
      <c r="F148" s="372">
        <v>0</v>
      </c>
      <c r="G148" s="372">
        <v>0</v>
      </c>
      <c r="H148" s="372">
        <v>0</v>
      </c>
      <c r="I148" s="372">
        <v>0</v>
      </c>
      <c r="J148" s="372">
        <v>0</v>
      </c>
      <c r="K148" s="372">
        <v>0</v>
      </c>
      <c r="L148" s="372">
        <v>0</v>
      </c>
      <c r="M148" s="372">
        <v>0</v>
      </c>
      <c r="N148" s="372">
        <v>0</v>
      </c>
      <c r="O148" s="372">
        <v>0</v>
      </c>
      <c r="P148" s="372">
        <v>0</v>
      </c>
      <c r="Q148" s="372">
        <v>0</v>
      </c>
      <c r="R148" s="372">
        <v>0</v>
      </c>
      <c r="S148" s="372">
        <v>0</v>
      </c>
    </row>
    <row r="149" spans="1:19" ht="12.75">
      <c r="A149" s="369" t="s">
        <v>1996</v>
      </c>
      <c r="B149" s="369" t="s">
        <v>122</v>
      </c>
      <c r="C149" s="369"/>
      <c r="D149" s="372">
        <v>0</v>
      </c>
      <c r="E149" s="372">
        <v>0</v>
      </c>
      <c r="F149" s="372">
        <v>0</v>
      </c>
      <c r="G149" s="372">
        <v>0</v>
      </c>
      <c r="H149" s="372">
        <v>0</v>
      </c>
      <c r="I149" s="372">
        <v>0</v>
      </c>
      <c r="J149" s="372">
        <v>0</v>
      </c>
      <c r="K149" s="372">
        <v>0</v>
      </c>
      <c r="L149" s="372">
        <v>0</v>
      </c>
      <c r="M149" s="372">
        <v>0</v>
      </c>
      <c r="N149" s="372">
        <v>0</v>
      </c>
      <c r="O149" s="372">
        <v>0</v>
      </c>
      <c r="P149" s="372">
        <v>0</v>
      </c>
      <c r="Q149" s="372">
        <v>0</v>
      </c>
      <c r="R149" s="372">
        <v>0</v>
      </c>
      <c r="S149" s="372">
        <v>0</v>
      </c>
    </row>
    <row r="150" spans="1:19" ht="12.75">
      <c r="A150" s="369" t="s">
        <v>1658</v>
      </c>
      <c r="B150" s="369" t="s">
        <v>1851</v>
      </c>
      <c r="C150" s="369" t="s">
        <v>527</v>
      </c>
      <c r="D150" s="372">
        <v>1</v>
      </c>
      <c r="E150" s="372">
        <v>0</v>
      </c>
      <c r="F150" s="372">
        <v>1</v>
      </c>
      <c r="G150" s="372">
        <v>1</v>
      </c>
      <c r="H150" s="372">
        <v>1</v>
      </c>
      <c r="I150" s="372">
        <v>1</v>
      </c>
      <c r="J150" s="372">
        <v>1</v>
      </c>
      <c r="K150" s="372">
        <v>1</v>
      </c>
      <c r="L150" s="372">
        <v>1</v>
      </c>
      <c r="M150" s="372">
        <v>1</v>
      </c>
      <c r="N150" s="372">
        <v>1</v>
      </c>
      <c r="O150" s="372">
        <v>1</v>
      </c>
      <c r="P150" s="372">
        <v>1</v>
      </c>
      <c r="Q150" s="372">
        <v>0</v>
      </c>
      <c r="R150" s="372">
        <v>0</v>
      </c>
      <c r="S150" s="372">
        <v>0</v>
      </c>
    </row>
    <row r="151" spans="1:19" ht="12.75">
      <c r="A151" s="369" t="s">
        <v>2501</v>
      </c>
      <c r="B151" s="369" t="s">
        <v>282</v>
      </c>
      <c r="C151" s="369" t="s">
        <v>528</v>
      </c>
      <c r="D151" s="372">
        <v>0</v>
      </c>
      <c r="E151" s="372">
        <v>0</v>
      </c>
      <c r="F151" s="372">
        <v>0</v>
      </c>
      <c r="G151" s="372">
        <v>0</v>
      </c>
      <c r="H151" s="372">
        <v>0</v>
      </c>
      <c r="I151" s="372">
        <v>0</v>
      </c>
      <c r="J151" s="372">
        <v>0</v>
      </c>
      <c r="K151" s="372">
        <v>0</v>
      </c>
      <c r="L151" s="372">
        <v>0</v>
      </c>
      <c r="M151" s="372">
        <v>0</v>
      </c>
      <c r="N151" s="372">
        <v>0</v>
      </c>
      <c r="O151" s="372">
        <v>0</v>
      </c>
      <c r="P151" s="372">
        <v>0</v>
      </c>
      <c r="Q151" s="372">
        <v>0</v>
      </c>
      <c r="R151" s="372">
        <v>0</v>
      </c>
      <c r="S151" s="372">
        <v>0</v>
      </c>
    </row>
    <row r="152" spans="1:19" ht="12.75">
      <c r="A152" s="369" t="s">
        <v>279</v>
      </c>
      <c r="B152" s="369" t="s">
        <v>278</v>
      </c>
      <c r="C152" s="369" t="s">
        <v>529</v>
      </c>
      <c r="D152" s="372">
        <v>0</v>
      </c>
      <c r="E152" s="372">
        <v>0</v>
      </c>
      <c r="F152" s="372">
        <v>0</v>
      </c>
      <c r="G152" s="372">
        <v>0</v>
      </c>
      <c r="H152" s="372">
        <v>0</v>
      </c>
      <c r="I152" s="372">
        <v>0</v>
      </c>
      <c r="J152" s="372">
        <v>0</v>
      </c>
      <c r="K152" s="372">
        <v>0</v>
      </c>
      <c r="L152" s="372">
        <v>0</v>
      </c>
      <c r="M152" s="372">
        <v>0</v>
      </c>
      <c r="N152" s="372">
        <v>0</v>
      </c>
      <c r="O152" s="372">
        <v>0</v>
      </c>
      <c r="P152" s="372">
        <v>0</v>
      </c>
      <c r="Q152" s="372">
        <v>0</v>
      </c>
      <c r="R152" s="372">
        <v>0</v>
      </c>
      <c r="S152" s="372">
        <v>0</v>
      </c>
    </row>
    <row r="153" spans="1:19" ht="12.75">
      <c r="A153" s="369" t="s">
        <v>1659</v>
      </c>
      <c r="B153" s="369" t="s">
        <v>1852</v>
      </c>
      <c r="C153" s="369" t="s">
        <v>530</v>
      </c>
      <c r="D153" s="372">
        <v>0</v>
      </c>
      <c r="E153" s="372">
        <v>1</v>
      </c>
      <c r="F153" s="372">
        <v>0</v>
      </c>
      <c r="G153" s="372">
        <v>1</v>
      </c>
      <c r="H153" s="372">
        <v>1</v>
      </c>
      <c r="I153" s="372">
        <v>0</v>
      </c>
      <c r="J153" s="372">
        <v>0</v>
      </c>
      <c r="K153" s="372">
        <v>0</v>
      </c>
      <c r="L153" s="372">
        <v>0</v>
      </c>
      <c r="M153" s="372">
        <v>0</v>
      </c>
      <c r="N153" s="372">
        <v>0</v>
      </c>
      <c r="O153" s="372">
        <v>0</v>
      </c>
      <c r="P153" s="372">
        <v>0</v>
      </c>
      <c r="Q153" s="372">
        <v>0</v>
      </c>
      <c r="R153" s="372">
        <v>0</v>
      </c>
      <c r="S153" s="372">
        <v>0</v>
      </c>
    </row>
    <row r="154" spans="1:19" ht="12.75">
      <c r="A154" s="369" t="s">
        <v>281</v>
      </c>
      <c r="B154" s="369" t="s">
        <v>280</v>
      </c>
      <c r="C154" s="369" t="s">
        <v>531</v>
      </c>
      <c r="D154" s="372">
        <v>0</v>
      </c>
      <c r="E154" s="372">
        <v>0</v>
      </c>
      <c r="F154" s="372">
        <v>0</v>
      </c>
      <c r="G154" s="372">
        <v>0</v>
      </c>
      <c r="H154" s="372">
        <v>0</v>
      </c>
      <c r="I154" s="372">
        <v>0</v>
      </c>
      <c r="J154" s="372">
        <v>0</v>
      </c>
      <c r="K154" s="372">
        <v>0</v>
      </c>
      <c r="L154" s="372">
        <v>0</v>
      </c>
      <c r="M154" s="372">
        <v>0</v>
      </c>
      <c r="N154" s="372">
        <v>0</v>
      </c>
      <c r="O154" s="372">
        <v>0</v>
      </c>
      <c r="P154" s="372">
        <v>0</v>
      </c>
      <c r="Q154" s="372">
        <v>0</v>
      </c>
      <c r="R154" s="372">
        <v>0</v>
      </c>
      <c r="S154" s="372">
        <v>0</v>
      </c>
    </row>
    <row r="155" spans="1:19" ht="12.75">
      <c r="A155" s="369" t="s">
        <v>2166</v>
      </c>
      <c r="B155" s="369" t="s">
        <v>317</v>
      </c>
      <c r="C155" s="369" t="s">
        <v>532</v>
      </c>
      <c r="D155" s="372">
        <v>1</v>
      </c>
      <c r="E155" s="372">
        <v>1</v>
      </c>
      <c r="F155" s="372">
        <v>1</v>
      </c>
      <c r="G155" s="372">
        <v>1</v>
      </c>
      <c r="H155" s="372">
        <v>1</v>
      </c>
      <c r="I155" s="372">
        <v>1</v>
      </c>
      <c r="J155" s="372">
        <v>1</v>
      </c>
      <c r="K155" s="372">
        <v>1</v>
      </c>
      <c r="L155" s="372">
        <v>0</v>
      </c>
      <c r="M155" s="372">
        <v>1</v>
      </c>
      <c r="N155" s="372">
        <v>1</v>
      </c>
      <c r="O155" s="372">
        <v>1</v>
      </c>
      <c r="P155" s="372">
        <v>0</v>
      </c>
      <c r="Q155" s="372">
        <v>1</v>
      </c>
      <c r="R155" s="372">
        <v>1</v>
      </c>
      <c r="S155" s="372">
        <v>1</v>
      </c>
    </row>
    <row r="156" spans="1:19" ht="12.75">
      <c r="A156" s="369" t="s">
        <v>1934</v>
      </c>
      <c r="B156" s="369" t="s">
        <v>1935</v>
      </c>
      <c r="C156" s="369"/>
      <c r="D156" s="372">
        <v>0</v>
      </c>
      <c r="E156" s="372">
        <v>0</v>
      </c>
      <c r="F156" s="372">
        <v>0</v>
      </c>
      <c r="G156" s="372">
        <v>0</v>
      </c>
      <c r="H156" s="372">
        <v>0</v>
      </c>
      <c r="I156" s="372">
        <v>0</v>
      </c>
      <c r="J156" s="372">
        <v>0</v>
      </c>
      <c r="K156" s="372">
        <v>0</v>
      </c>
      <c r="L156" s="372">
        <v>0</v>
      </c>
      <c r="M156" s="372">
        <v>0</v>
      </c>
      <c r="N156" s="372">
        <v>0</v>
      </c>
      <c r="O156" s="372">
        <v>0</v>
      </c>
      <c r="P156" s="372">
        <v>0</v>
      </c>
      <c r="Q156" s="372">
        <v>0</v>
      </c>
      <c r="R156" s="372">
        <v>0</v>
      </c>
      <c r="S156" s="372">
        <v>0</v>
      </c>
    </row>
    <row r="157" spans="1:19" ht="12.75">
      <c r="A157" s="369" t="s">
        <v>1191</v>
      </c>
      <c r="B157" s="369" t="s">
        <v>1588</v>
      </c>
      <c r="C157" s="369" t="s">
        <v>533</v>
      </c>
      <c r="D157" s="372">
        <v>1</v>
      </c>
      <c r="E157" s="372">
        <v>1</v>
      </c>
      <c r="F157" s="372">
        <v>1</v>
      </c>
      <c r="G157" s="372">
        <v>0</v>
      </c>
      <c r="H157" s="372">
        <v>0</v>
      </c>
      <c r="I157" s="372">
        <v>1</v>
      </c>
      <c r="J157" s="372">
        <v>1</v>
      </c>
      <c r="K157" s="372">
        <v>1</v>
      </c>
      <c r="L157" s="372">
        <v>1</v>
      </c>
      <c r="M157" s="372">
        <v>1</v>
      </c>
      <c r="N157" s="372">
        <v>1</v>
      </c>
      <c r="O157" s="372">
        <v>0</v>
      </c>
      <c r="P157" s="372">
        <v>1</v>
      </c>
      <c r="Q157" s="372">
        <v>1</v>
      </c>
      <c r="R157" s="372">
        <v>1</v>
      </c>
      <c r="S157" s="372">
        <v>1</v>
      </c>
    </row>
    <row r="158" spans="1:19" ht="12.75">
      <c r="A158" s="369" t="s">
        <v>1776</v>
      </c>
      <c r="B158" s="369" t="s">
        <v>2502</v>
      </c>
      <c r="C158" s="369" t="s">
        <v>534</v>
      </c>
      <c r="D158" s="372">
        <v>0</v>
      </c>
      <c r="E158" s="372">
        <v>0</v>
      </c>
      <c r="F158" s="372">
        <v>0</v>
      </c>
      <c r="G158" s="372">
        <v>0</v>
      </c>
      <c r="H158" s="372">
        <v>0</v>
      </c>
      <c r="I158" s="372">
        <v>0</v>
      </c>
      <c r="J158" s="372">
        <v>0</v>
      </c>
      <c r="K158" s="372">
        <v>0</v>
      </c>
      <c r="L158" s="372">
        <v>0</v>
      </c>
      <c r="M158" s="372">
        <v>0</v>
      </c>
      <c r="N158" s="372">
        <v>0</v>
      </c>
      <c r="O158" s="372">
        <v>0</v>
      </c>
      <c r="P158" s="372">
        <v>0</v>
      </c>
      <c r="Q158" s="372">
        <v>0</v>
      </c>
      <c r="R158" s="372">
        <v>0</v>
      </c>
      <c r="S158" s="372">
        <v>0</v>
      </c>
    </row>
    <row r="159" spans="1:19" ht="12.75">
      <c r="A159" s="369" t="s">
        <v>266</v>
      </c>
      <c r="B159" s="369" t="s">
        <v>2442</v>
      </c>
      <c r="C159" s="369"/>
      <c r="D159" s="372">
        <v>0</v>
      </c>
      <c r="E159" s="372">
        <v>0</v>
      </c>
      <c r="F159" s="372">
        <v>0</v>
      </c>
      <c r="G159" s="372">
        <v>0</v>
      </c>
      <c r="H159" s="372">
        <v>0</v>
      </c>
      <c r="I159" s="372">
        <v>0</v>
      </c>
      <c r="J159" s="372">
        <v>0</v>
      </c>
      <c r="K159" s="372">
        <v>0</v>
      </c>
      <c r="L159" s="372">
        <v>0</v>
      </c>
      <c r="M159" s="372">
        <v>0</v>
      </c>
      <c r="N159" s="372">
        <v>0</v>
      </c>
      <c r="O159" s="372">
        <v>0</v>
      </c>
      <c r="P159" s="372">
        <v>0</v>
      </c>
      <c r="Q159" s="372">
        <v>0</v>
      </c>
      <c r="R159" s="372">
        <v>0</v>
      </c>
      <c r="S159" s="372">
        <v>0</v>
      </c>
    </row>
    <row r="160" spans="1:19" ht="12.75">
      <c r="A160" s="369" t="s">
        <v>1502</v>
      </c>
      <c r="B160" s="369" t="s">
        <v>1503</v>
      </c>
      <c r="C160" s="369" t="s">
        <v>535</v>
      </c>
      <c r="D160" s="372">
        <v>0</v>
      </c>
      <c r="E160" s="372">
        <v>0</v>
      </c>
      <c r="F160" s="372">
        <v>0</v>
      </c>
      <c r="G160" s="372">
        <v>0</v>
      </c>
      <c r="H160" s="372">
        <v>0</v>
      </c>
      <c r="I160" s="372">
        <v>0</v>
      </c>
      <c r="J160" s="372">
        <v>0</v>
      </c>
      <c r="K160" s="372">
        <v>0</v>
      </c>
      <c r="L160" s="372">
        <v>0</v>
      </c>
      <c r="M160" s="372">
        <v>0</v>
      </c>
      <c r="N160" s="372">
        <v>0</v>
      </c>
      <c r="O160" s="372">
        <v>0</v>
      </c>
      <c r="P160" s="372">
        <v>0</v>
      </c>
      <c r="Q160" s="372">
        <v>0</v>
      </c>
      <c r="R160" s="372">
        <v>0</v>
      </c>
      <c r="S160" s="372">
        <v>0</v>
      </c>
    </row>
    <row r="161" spans="1:19" ht="12.75">
      <c r="A161" s="369" t="s">
        <v>1750</v>
      </c>
      <c r="B161" s="369" t="s">
        <v>297</v>
      </c>
      <c r="C161" s="369" t="s">
        <v>536</v>
      </c>
      <c r="D161" s="372">
        <v>0</v>
      </c>
      <c r="E161" s="372">
        <v>0</v>
      </c>
      <c r="F161" s="372">
        <v>0</v>
      </c>
      <c r="G161" s="372">
        <v>0</v>
      </c>
      <c r="H161" s="372">
        <v>0</v>
      </c>
      <c r="I161" s="372">
        <v>0</v>
      </c>
      <c r="J161" s="372">
        <v>0</v>
      </c>
      <c r="K161" s="372">
        <v>0</v>
      </c>
      <c r="L161" s="372">
        <v>0</v>
      </c>
      <c r="M161" s="372">
        <v>0</v>
      </c>
      <c r="N161" s="372">
        <v>0</v>
      </c>
      <c r="O161" s="372">
        <v>0</v>
      </c>
      <c r="P161" s="372">
        <v>0</v>
      </c>
      <c r="Q161" s="372">
        <v>0</v>
      </c>
      <c r="R161" s="372">
        <v>0</v>
      </c>
      <c r="S161" s="372">
        <v>0</v>
      </c>
    </row>
    <row r="162" spans="1:19" ht="12.75">
      <c r="A162" s="369" t="s">
        <v>267</v>
      </c>
      <c r="B162" s="369" t="s">
        <v>318</v>
      </c>
      <c r="C162" s="369" t="s">
        <v>537</v>
      </c>
      <c r="D162" s="372">
        <v>1</v>
      </c>
      <c r="E162" s="372">
        <v>0</v>
      </c>
      <c r="F162" s="372">
        <v>1</v>
      </c>
      <c r="G162" s="372">
        <v>0</v>
      </c>
      <c r="H162" s="372">
        <v>0</v>
      </c>
      <c r="I162" s="372">
        <v>1</v>
      </c>
      <c r="J162" s="372">
        <v>1</v>
      </c>
      <c r="K162" s="372">
        <v>0</v>
      </c>
      <c r="L162" s="372">
        <v>0</v>
      </c>
      <c r="M162" s="372">
        <v>1</v>
      </c>
      <c r="N162" s="372">
        <v>1</v>
      </c>
      <c r="O162" s="372">
        <v>0</v>
      </c>
      <c r="P162" s="372">
        <v>1</v>
      </c>
      <c r="Q162" s="372">
        <v>0</v>
      </c>
      <c r="R162" s="372">
        <v>0</v>
      </c>
      <c r="S162" s="372">
        <v>1</v>
      </c>
    </row>
    <row r="163" spans="1:19" ht="12.75">
      <c r="A163" s="369" t="s">
        <v>1919</v>
      </c>
      <c r="B163" s="369" t="s">
        <v>319</v>
      </c>
      <c r="C163" s="369" t="s">
        <v>538</v>
      </c>
      <c r="D163" s="372">
        <v>1</v>
      </c>
      <c r="E163" s="372">
        <v>1</v>
      </c>
      <c r="F163" s="372">
        <v>0</v>
      </c>
      <c r="G163" s="372">
        <v>1</v>
      </c>
      <c r="H163" s="372">
        <v>1</v>
      </c>
      <c r="I163" s="372">
        <v>0</v>
      </c>
      <c r="J163" s="372">
        <v>0</v>
      </c>
      <c r="K163" s="372">
        <v>1</v>
      </c>
      <c r="L163" s="372">
        <v>0</v>
      </c>
      <c r="M163" s="372">
        <v>1</v>
      </c>
      <c r="N163" s="372">
        <v>0</v>
      </c>
      <c r="O163" s="372">
        <v>1</v>
      </c>
      <c r="P163" s="372">
        <v>0</v>
      </c>
      <c r="Q163" s="372">
        <v>0</v>
      </c>
      <c r="R163" s="372">
        <v>0</v>
      </c>
      <c r="S163" s="372">
        <v>1</v>
      </c>
    </row>
    <row r="164" spans="1:19" ht="12.75">
      <c r="A164" s="369" t="s">
        <v>1861</v>
      </c>
      <c r="B164" s="369" t="s">
        <v>1777</v>
      </c>
      <c r="C164" s="369" t="s">
        <v>539</v>
      </c>
      <c r="D164" s="372">
        <v>0</v>
      </c>
      <c r="E164" s="372">
        <v>0</v>
      </c>
      <c r="F164" s="372">
        <v>0</v>
      </c>
      <c r="G164" s="372">
        <v>0</v>
      </c>
      <c r="H164" s="372">
        <v>0</v>
      </c>
      <c r="I164" s="372">
        <v>0</v>
      </c>
      <c r="J164" s="372">
        <v>0</v>
      </c>
      <c r="K164" s="372">
        <v>0</v>
      </c>
      <c r="L164" s="372">
        <v>0</v>
      </c>
      <c r="M164" s="372">
        <v>0</v>
      </c>
      <c r="N164" s="372">
        <v>0</v>
      </c>
      <c r="O164" s="372">
        <v>0</v>
      </c>
      <c r="P164" s="372">
        <v>0</v>
      </c>
      <c r="Q164" s="372">
        <v>0</v>
      </c>
      <c r="R164" s="372">
        <v>0</v>
      </c>
      <c r="S164" s="372">
        <v>0</v>
      </c>
    </row>
    <row r="165" spans="1:19" ht="12.75">
      <c r="A165" s="369" t="s">
        <v>1920</v>
      </c>
      <c r="B165" s="369" t="s">
        <v>320</v>
      </c>
      <c r="C165" s="369" t="s">
        <v>540</v>
      </c>
      <c r="D165" s="372">
        <v>0</v>
      </c>
      <c r="E165" s="372">
        <v>1</v>
      </c>
      <c r="F165" s="372">
        <v>0</v>
      </c>
      <c r="G165" s="372">
        <v>0</v>
      </c>
      <c r="H165" s="372">
        <v>0</v>
      </c>
      <c r="I165" s="372">
        <v>0</v>
      </c>
      <c r="J165" s="372">
        <v>0</v>
      </c>
      <c r="K165" s="372">
        <v>0</v>
      </c>
      <c r="L165" s="372">
        <v>0</v>
      </c>
      <c r="M165" s="372">
        <v>0</v>
      </c>
      <c r="N165" s="372">
        <v>0</v>
      </c>
      <c r="O165" s="372">
        <v>0</v>
      </c>
      <c r="P165" s="372">
        <v>0</v>
      </c>
      <c r="Q165" s="372">
        <v>0</v>
      </c>
      <c r="R165" s="372">
        <v>0</v>
      </c>
      <c r="S165" s="372">
        <v>0</v>
      </c>
    </row>
    <row r="166" spans="1:19" ht="12.75">
      <c r="A166" s="369" t="s">
        <v>1134</v>
      </c>
      <c r="B166" s="369" t="s">
        <v>1133</v>
      </c>
      <c r="C166" s="369" t="s">
        <v>541</v>
      </c>
      <c r="D166" s="372">
        <v>0</v>
      </c>
      <c r="E166" s="372">
        <v>0</v>
      </c>
      <c r="F166" s="372">
        <v>0</v>
      </c>
      <c r="G166" s="372">
        <v>0</v>
      </c>
      <c r="H166" s="372">
        <v>0</v>
      </c>
      <c r="I166" s="372">
        <v>0</v>
      </c>
      <c r="J166" s="372">
        <v>0</v>
      </c>
      <c r="K166" s="372">
        <v>0</v>
      </c>
      <c r="L166" s="372">
        <v>0</v>
      </c>
      <c r="M166" s="372">
        <v>0</v>
      </c>
      <c r="N166" s="372">
        <v>0</v>
      </c>
      <c r="O166" s="372">
        <v>0</v>
      </c>
      <c r="P166" s="372">
        <v>0</v>
      </c>
      <c r="Q166" s="372">
        <v>0</v>
      </c>
      <c r="R166" s="372">
        <v>0</v>
      </c>
      <c r="S166" s="372">
        <v>0</v>
      </c>
    </row>
    <row r="167" spans="1:19" ht="12.75">
      <c r="A167" s="369" t="s">
        <v>1132</v>
      </c>
      <c r="B167" s="369" t="s">
        <v>1131</v>
      </c>
      <c r="C167" s="369" t="s">
        <v>542</v>
      </c>
      <c r="D167" s="372">
        <v>0</v>
      </c>
      <c r="E167" s="372">
        <v>0</v>
      </c>
      <c r="F167" s="372">
        <v>0</v>
      </c>
      <c r="G167" s="372">
        <v>0</v>
      </c>
      <c r="H167" s="372">
        <v>0</v>
      </c>
      <c r="I167" s="372">
        <v>0</v>
      </c>
      <c r="J167" s="372">
        <v>0</v>
      </c>
      <c r="K167" s="372">
        <v>0</v>
      </c>
      <c r="L167" s="372">
        <v>0</v>
      </c>
      <c r="M167" s="372">
        <v>0</v>
      </c>
      <c r="N167" s="372">
        <v>0</v>
      </c>
      <c r="O167" s="372">
        <v>0</v>
      </c>
      <c r="P167" s="372">
        <v>0</v>
      </c>
      <c r="Q167" s="372">
        <v>0</v>
      </c>
      <c r="R167" s="372">
        <v>0</v>
      </c>
      <c r="S167" s="372">
        <v>0</v>
      </c>
    </row>
    <row r="168" spans="1:19" ht="12.75">
      <c r="A168" s="369" t="s">
        <v>1862</v>
      </c>
      <c r="B168" s="369" t="s">
        <v>1862</v>
      </c>
      <c r="C168" s="369" t="s">
        <v>543</v>
      </c>
      <c r="D168" s="372">
        <v>0</v>
      </c>
      <c r="E168" s="372">
        <v>0</v>
      </c>
      <c r="F168" s="372">
        <v>0</v>
      </c>
      <c r="G168" s="372">
        <v>0</v>
      </c>
      <c r="H168" s="372">
        <v>0</v>
      </c>
      <c r="I168" s="372">
        <v>0</v>
      </c>
      <c r="J168" s="372">
        <v>0</v>
      </c>
      <c r="K168" s="372">
        <v>0</v>
      </c>
      <c r="L168" s="372">
        <v>0</v>
      </c>
      <c r="M168" s="372">
        <v>0</v>
      </c>
      <c r="N168" s="372">
        <v>0</v>
      </c>
      <c r="O168" s="372">
        <v>0</v>
      </c>
      <c r="P168" s="372">
        <v>0</v>
      </c>
      <c r="Q168" s="372">
        <v>0</v>
      </c>
      <c r="R168" s="372">
        <v>0</v>
      </c>
      <c r="S168" s="372">
        <v>0</v>
      </c>
    </row>
    <row r="169" spans="1:19" ht="12.75">
      <c r="A169" s="369" t="s">
        <v>367</v>
      </c>
      <c r="B169" s="369" t="s">
        <v>216</v>
      </c>
      <c r="C169" s="369" t="s">
        <v>544</v>
      </c>
      <c r="D169" s="372">
        <v>0</v>
      </c>
      <c r="E169" s="372">
        <v>0</v>
      </c>
      <c r="F169" s="372">
        <v>0</v>
      </c>
      <c r="G169" s="372">
        <v>1</v>
      </c>
      <c r="H169" s="372">
        <v>1</v>
      </c>
      <c r="I169" s="372">
        <v>0</v>
      </c>
      <c r="J169" s="372">
        <v>1</v>
      </c>
      <c r="K169" s="372">
        <v>0</v>
      </c>
      <c r="L169" s="372">
        <v>1</v>
      </c>
      <c r="M169" s="372">
        <v>0</v>
      </c>
      <c r="N169" s="372">
        <v>0</v>
      </c>
      <c r="O169" s="372">
        <v>1</v>
      </c>
      <c r="P169" s="372">
        <v>0</v>
      </c>
      <c r="Q169" s="372">
        <v>0</v>
      </c>
      <c r="R169" s="372">
        <v>0</v>
      </c>
      <c r="S169" s="372">
        <v>0</v>
      </c>
    </row>
    <row r="170" spans="1:19" ht="12.75">
      <c r="A170" s="369" t="s">
        <v>1559</v>
      </c>
      <c r="B170" s="369" t="s">
        <v>2021</v>
      </c>
      <c r="C170" s="369"/>
      <c r="D170" s="372">
        <v>1</v>
      </c>
      <c r="E170" s="372">
        <v>0</v>
      </c>
      <c r="F170" s="372">
        <v>0</v>
      </c>
      <c r="G170" s="372">
        <v>0</v>
      </c>
      <c r="H170" s="372">
        <v>0</v>
      </c>
      <c r="I170" s="372">
        <v>1</v>
      </c>
      <c r="J170" s="372">
        <v>0</v>
      </c>
      <c r="K170" s="372">
        <v>0</v>
      </c>
      <c r="L170" s="372">
        <v>0</v>
      </c>
      <c r="M170" s="372">
        <v>0</v>
      </c>
      <c r="N170" s="372">
        <v>0</v>
      </c>
      <c r="O170" s="372">
        <v>0</v>
      </c>
      <c r="P170" s="372">
        <v>0</v>
      </c>
      <c r="Q170" s="372">
        <v>0</v>
      </c>
      <c r="R170" s="372">
        <v>1</v>
      </c>
      <c r="S170" s="372">
        <v>0</v>
      </c>
    </row>
    <row r="171" spans="1:19" ht="12.75">
      <c r="A171" s="369" t="s">
        <v>1564</v>
      </c>
      <c r="B171" s="369" t="s">
        <v>1563</v>
      </c>
      <c r="C171" s="369" t="s">
        <v>545</v>
      </c>
      <c r="D171" s="372">
        <v>0</v>
      </c>
      <c r="E171" s="372">
        <v>0</v>
      </c>
      <c r="F171" s="372">
        <v>0</v>
      </c>
      <c r="G171" s="372">
        <v>0</v>
      </c>
      <c r="H171" s="372">
        <v>0</v>
      </c>
      <c r="I171" s="372">
        <v>0</v>
      </c>
      <c r="J171" s="372">
        <v>0</v>
      </c>
      <c r="K171" s="372">
        <v>0</v>
      </c>
      <c r="L171" s="372">
        <v>0</v>
      </c>
      <c r="M171" s="372">
        <v>0</v>
      </c>
      <c r="N171" s="372">
        <v>0</v>
      </c>
      <c r="O171" s="372">
        <v>0</v>
      </c>
      <c r="P171" s="372">
        <v>0</v>
      </c>
      <c r="Q171" s="372">
        <v>0</v>
      </c>
      <c r="R171" s="372">
        <v>0</v>
      </c>
      <c r="S171" s="372">
        <v>0</v>
      </c>
    </row>
    <row r="172" spans="1:19" ht="12.75">
      <c r="A172" s="369" t="s">
        <v>1877</v>
      </c>
      <c r="B172" s="369" t="s">
        <v>314</v>
      </c>
      <c r="C172" s="369" t="s">
        <v>546</v>
      </c>
      <c r="D172" s="372">
        <v>0</v>
      </c>
      <c r="E172" s="372">
        <v>0</v>
      </c>
      <c r="F172" s="372">
        <v>0</v>
      </c>
      <c r="G172" s="372">
        <v>0</v>
      </c>
      <c r="H172" s="372">
        <v>0</v>
      </c>
      <c r="I172" s="372">
        <v>0</v>
      </c>
      <c r="J172" s="372">
        <v>0</v>
      </c>
      <c r="K172" s="372">
        <v>0</v>
      </c>
      <c r="L172" s="372">
        <v>0</v>
      </c>
      <c r="M172" s="372">
        <v>0</v>
      </c>
      <c r="N172" s="372">
        <v>0</v>
      </c>
      <c r="O172" s="372">
        <v>0</v>
      </c>
      <c r="P172" s="372">
        <v>0</v>
      </c>
      <c r="Q172" s="372">
        <v>0</v>
      </c>
      <c r="R172" s="372">
        <v>0</v>
      </c>
      <c r="S172" s="372">
        <v>0</v>
      </c>
    </row>
    <row r="173" spans="1:19" ht="12.75">
      <c r="A173" s="369" t="s">
        <v>1879</v>
      </c>
      <c r="B173" s="369" t="s">
        <v>1878</v>
      </c>
      <c r="C173" s="369" t="s">
        <v>547</v>
      </c>
      <c r="D173" s="372">
        <v>0</v>
      </c>
      <c r="E173" s="372">
        <v>0</v>
      </c>
      <c r="F173" s="372">
        <v>0</v>
      </c>
      <c r="G173" s="372">
        <v>0</v>
      </c>
      <c r="H173" s="372">
        <v>0</v>
      </c>
      <c r="I173" s="372">
        <v>0</v>
      </c>
      <c r="J173" s="372">
        <v>0</v>
      </c>
      <c r="K173" s="372">
        <v>0</v>
      </c>
      <c r="L173" s="372">
        <v>0</v>
      </c>
      <c r="M173" s="372">
        <v>0</v>
      </c>
      <c r="N173" s="372">
        <v>0</v>
      </c>
      <c r="O173" s="372">
        <v>0</v>
      </c>
      <c r="P173" s="372">
        <v>0</v>
      </c>
      <c r="Q173" s="372">
        <v>0</v>
      </c>
      <c r="R173" s="372">
        <v>0</v>
      </c>
      <c r="S173" s="372">
        <v>0</v>
      </c>
    </row>
    <row r="174" spans="1:19" ht="12.75">
      <c r="A174" s="369" t="s">
        <v>176</v>
      </c>
      <c r="B174" s="369" t="s">
        <v>109</v>
      </c>
      <c r="C174" s="369" t="s">
        <v>548</v>
      </c>
      <c r="D174" s="372">
        <v>0</v>
      </c>
      <c r="E174" s="372">
        <v>0</v>
      </c>
      <c r="F174" s="372">
        <v>0</v>
      </c>
      <c r="G174" s="372">
        <v>0</v>
      </c>
      <c r="H174" s="372">
        <v>0</v>
      </c>
      <c r="I174" s="372">
        <v>0</v>
      </c>
      <c r="J174" s="372">
        <v>0</v>
      </c>
      <c r="K174" s="372">
        <v>0</v>
      </c>
      <c r="L174" s="372">
        <v>0</v>
      </c>
      <c r="M174" s="372">
        <v>0</v>
      </c>
      <c r="N174" s="372">
        <v>0</v>
      </c>
      <c r="O174" s="372">
        <v>0</v>
      </c>
      <c r="P174" s="372">
        <v>0</v>
      </c>
      <c r="Q174" s="372">
        <v>0</v>
      </c>
      <c r="R174" s="372">
        <v>0</v>
      </c>
      <c r="S174" s="372">
        <v>0</v>
      </c>
    </row>
    <row r="175" spans="1:19" ht="12.75">
      <c r="A175" s="369" t="s">
        <v>178</v>
      </c>
      <c r="B175" s="369" t="s">
        <v>177</v>
      </c>
      <c r="C175" s="369" t="s">
        <v>549</v>
      </c>
      <c r="D175" s="372">
        <v>0</v>
      </c>
      <c r="E175" s="372">
        <v>0</v>
      </c>
      <c r="F175" s="372">
        <v>0</v>
      </c>
      <c r="G175" s="372">
        <v>0</v>
      </c>
      <c r="H175" s="372">
        <v>0</v>
      </c>
      <c r="I175" s="372">
        <v>0</v>
      </c>
      <c r="J175" s="372">
        <v>0</v>
      </c>
      <c r="K175" s="372">
        <v>0</v>
      </c>
      <c r="L175" s="372">
        <v>0</v>
      </c>
      <c r="M175" s="372">
        <v>0</v>
      </c>
      <c r="N175" s="372">
        <v>0</v>
      </c>
      <c r="O175" s="372">
        <v>0</v>
      </c>
      <c r="P175" s="372">
        <v>0</v>
      </c>
      <c r="Q175" s="372">
        <v>0</v>
      </c>
      <c r="R175" s="372">
        <v>0</v>
      </c>
      <c r="S175" s="372">
        <v>0</v>
      </c>
    </row>
    <row r="176" spans="1:19" ht="12.75">
      <c r="A176" s="369" t="s">
        <v>2343</v>
      </c>
      <c r="B176" s="369" t="s">
        <v>2342</v>
      </c>
      <c r="C176" s="369" t="s">
        <v>550</v>
      </c>
      <c r="D176" s="372">
        <v>0</v>
      </c>
      <c r="E176" s="372">
        <v>0</v>
      </c>
      <c r="F176" s="372">
        <v>0</v>
      </c>
      <c r="G176" s="372">
        <v>0</v>
      </c>
      <c r="H176" s="372">
        <v>0</v>
      </c>
      <c r="I176" s="372">
        <v>0</v>
      </c>
      <c r="J176" s="372">
        <v>0</v>
      </c>
      <c r="K176" s="372">
        <v>0</v>
      </c>
      <c r="L176" s="372">
        <v>0</v>
      </c>
      <c r="M176" s="372">
        <v>0</v>
      </c>
      <c r="N176" s="372">
        <v>0</v>
      </c>
      <c r="O176" s="372">
        <v>0</v>
      </c>
      <c r="P176" s="372">
        <v>0</v>
      </c>
      <c r="Q176" s="372">
        <v>0</v>
      </c>
      <c r="R176" s="372">
        <v>0</v>
      </c>
      <c r="S176" s="372">
        <v>0</v>
      </c>
    </row>
    <row r="177" spans="1:19" ht="12.75">
      <c r="A177" s="369" t="s">
        <v>112</v>
      </c>
      <c r="B177" s="369" t="s">
        <v>391</v>
      </c>
      <c r="C177" s="369" t="s">
        <v>551</v>
      </c>
      <c r="D177" s="372">
        <v>0</v>
      </c>
      <c r="E177" s="372">
        <v>0</v>
      </c>
      <c r="F177" s="372">
        <v>0</v>
      </c>
      <c r="G177" s="372">
        <v>0</v>
      </c>
      <c r="H177" s="372">
        <v>0</v>
      </c>
      <c r="I177" s="372">
        <v>0</v>
      </c>
      <c r="J177" s="372">
        <v>0</v>
      </c>
      <c r="K177" s="372">
        <v>0</v>
      </c>
      <c r="L177" s="372">
        <v>0</v>
      </c>
      <c r="M177" s="372">
        <v>0</v>
      </c>
      <c r="N177" s="372">
        <v>0</v>
      </c>
      <c r="O177" s="372">
        <v>0</v>
      </c>
      <c r="P177" s="372">
        <v>0</v>
      </c>
      <c r="Q177" s="372">
        <v>0</v>
      </c>
      <c r="R177" s="372">
        <v>0</v>
      </c>
      <c r="S177" s="372">
        <v>0</v>
      </c>
    </row>
    <row r="178" spans="1:19" ht="12.75">
      <c r="A178" s="369" t="s">
        <v>2301</v>
      </c>
      <c r="B178" s="369" t="s">
        <v>2060</v>
      </c>
      <c r="C178" s="369" t="s">
        <v>552</v>
      </c>
      <c r="D178" s="372">
        <v>0</v>
      </c>
      <c r="E178" s="372">
        <v>0</v>
      </c>
      <c r="F178" s="372">
        <v>0</v>
      </c>
      <c r="G178" s="372">
        <v>0</v>
      </c>
      <c r="H178" s="372">
        <v>0</v>
      </c>
      <c r="I178" s="372">
        <v>0</v>
      </c>
      <c r="J178" s="372">
        <v>0</v>
      </c>
      <c r="K178" s="372">
        <v>0</v>
      </c>
      <c r="L178" s="372">
        <v>0</v>
      </c>
      <c r="M178" s="372">
        <v>0</v>
      </c>
      <c r="N178" s="372">
        <v>1</v>
      </c>
      <c r="O178" s="372">
        <v>0</v>
      </c>
      <c r="P178" s="372">
        <v>0</v>
      </c>
      <c r="Q178" s="372">
        <v>1</v>
      </c>
      <c r="R178" s="372">
        <v>0</v>
      </c>
      <c r="S178" s="372">
        <v>1</v>
      </c>
    </row>
    <row r="179" spans="1:19" ht="12.75">
      <c r="A179" s="369" t="s">
        <v>2302</v>
      </c>
      <c r="B179" s="369" t="s">
        <v>392</v>
      </c>
      <c r="C179" s="369" t="s">
        <v>553</v>
      </c>
      <c r="D179" s="372">
        <v>0</v>
      </c>
      <c r="E179" s="372">
        <v>0</v>
      </c>
      <c r="F179" s="372">
        <v>0</v>
      </c>
      <c r="G179" s="372">
        <v>0</v>
      </c>
      <c r="H179" s="372">
        <v>0</v>
      </c>
      <c r="I179" s="372">
        <v>0</v>
      </c>
      <c r="J179" s="372">
        <v>0</v>
      </c>
      <c r="K179" s="372">
        <v>0</v>
      </c>
      <c r="L179" s="372">
        <v>0</v>
      </c>
      <c r="M179" s="372">
        <v>0</v>
      </c>
      <c r="N179" s="372">
        <v>0</v>
      </c>
      <c r="O179" s="372">
        <v>0</v>
      </c>
      <c r="P179" s="372">
        <v>0</v>
      </c>
      <c r="Q179" s="372">
        <v>0</v>
      </c>
      <c r="R179" s="372">
        <v>0</v>
      </c>
      <c r="S179" s="372">
        <v>0</v>
      </c>
    </row>
    <row r="180" spans="1:19" ht="12.75">
      <c r="A180" s="369" t="s">
        <v>2119</v>
      </c>
      <c r="B180" s="369" t="s">
        <v>37</v>
      </c>
      <c r="C180" s="369" t="s">
        <v>554</v>
      </c>
      <c r="D180" s="372">
        <v>0</v>
      </c>
      <c r="E180" s="372">
        <v>0</v>
      </c>
      <c r="F180" s="372">
        <v>0</v>
      </c>
      <c r="G180" s="372">
        <v>0</v>
      </c>
      <c r="H180" s="372">
        <v>0</v>
      </c>
      <c r="I180" s="372">
        <v>0</v>
      </c>
      <c r="J180" s="372">
        <v>0</v>
      </c>
      <c r="K180" s="372">
        <v>0</v>
      </c>
      <c r="L180" s="372">
        <v>0</v>
      </c>
      <c r="M180" s="372">
        <v>0</v>
      </c>
      <c r="N180" s="372">
        <v>0</v>
      </c>
      <c r="O180" s="372">
        <v>0</v>
      </c>
      <c r="P180" s="372">
        <v>0</v>
      </c>
      <c r="Q180" s="372">
        <v>0</v>
      </c>
      <c r="R180" s="372">
        <v>1</v>
      </c>
      <c r="S180" s="372">
        <v>0</v>
      </c>
    </row>
    <row r="181" spans="1:19" ht="12.75">
      <c r="A181" s="369" t="s">
        <v>1138</v>
      </c>
      <c r="B181" s="369" t="s">
        <v>1137</v>
      </c>
      <c r="C181" s="369" t="s">
        <v>555</v>
      </c>
      <c r="D181" s="372">
        <v>0</v>
      </c>
      <c r="E181" s="372">
        <v>0</v>
      </c>
      <c r="F181" s="372">
        <v>0</v>
      </c>
      <c r="G181" s="372">
        <v>0</v>
      </c>
      <c r="H181" s="372">
        <v>0</v>
      </c>
      <c r="I181" s="372">
        <v>0</v>
      </c>
      <c r="J181" s="372">
        <v>0</v>
      </c>
      <c r="K181" s="372">
        <v>0</v>
      </c>
      <c r="L181" s="372">
        <v>0</v>
      </c>
      <c r="M181" s="372">
        <v>0</v>
      </c>
      <c r="N181" s="372">
        <v>0</v>
      </c>
      <c r="O181" s="372">
        <v>0</v>
      </c>
      <c r="P181" s="372">
        <v>0</v>
      </c>
      <c r="Q181" s="372">
        <v>0</v>
      </c>
      <c r="R181" s="372">
        <v>0</v>
      </c>
      <c r="S181" s="372">
        <v>0</v>
      </c>
    </row>
    <row r="182" spans="1:19" ht="12.75">
      <c r="A182" s="369" t="s">
        <v>1562</v>
      </c>
      <c r="B182" s="369" t="s">
        <v>1139</v>
      </c>
      <c r="C182" s="369" t="s">
        <v>556</v>
      </c>
      <c r="D182" s="372">
        <v>0</v>
      </c>
      <c r="E182" s="372">
        <v>0</v>
      </c>
      <c r="F182" s="372">
        <v>0</v>
      </c>
      <c r="G182" s="372">
        <v>0</v>
      </c>
      <c r="H182" s="372">
        <v>0</v>
      </c>
      <c r="I182" s="372">
        <v>0</v>
      </c>
      <c r="J182" s="372">
        <v>0</v>
      </c>
      <c r="K182" s="372">
        <v>0</v>
      </c>
      <c r="L182" s="372">
        <v>0</v>
      </c>
      <c r="M182" s="372">
        <v>0</v>
      </c>
      <c r="N182" s="372">
        <v>0</v>
      </c>
      <c r="O182" s="372">
        <v>0</v>
      </c>
      <c r="P182" s="372">
        <v>0</v>
      </c>
      <c r="Q182" s="372">
        <v>0</v>
      </c>
      <c r="R182" s="372">
        <v>0</v>
      </c>
      <c r="S182" s="372">
        <v>0</v>
      </c>
    </row>
    <row r="183" spans="1:19" ht="12.75">
      <c r="A183" s="369" t="s">
        <v>1136</v>
      </c>
      <c r="B183" s="369" t="s">
        <v>1135</v>
      </c>
      <c r="C183" s="369" t="s">
        <v>557</v>
      </c>
      <c r="D183" s="372">
        <v>0</v>
      </c>
      <c r="E183" s="372">
        <v>0</v>
      </c>
      <c r="F183" s="372">
        <v>0</v>
      </c>
      <c r="G183" s="372">
        <v>0</v>
      </c>
      <c r="H183" s="372">
        <v>0</v>
      </c>
      <c r="I183" s="372">
        <v>0</v>
      </c>
      <c r="J183" s="372">
        <v>0</v>
      </c>
      <c r="K183" s="372">
        <v>0</v>
      </c>
      <c r="L183" s="372">
        <v>0</v>
      </c>
      <c r="M183" s="372">
        <v>0</v>
      </c>
      <c r="N183" s="372">
        <v>0</v>
      </c>
      <c r="O183" s="372">
        <v>0</v>
      </c>
      <c r="P183" s="372">
        <v>0</v>
      </c>
      <c r="Q183" s="372">
        <v>0</v>
      </c>
      <c r="R183" s="372">
        <v>0</v>
      </c>
      <c r="S183" s="372">
        <v>0</v>
      </c>
    </row>
    <row r="184" spans="1:19" ht="12.75">
      <c r="A184" s="369" t="s">
        <v>2120</v>
      </c>
      <c r="B184" s="369" t="s">
        <v>2061</v>
      </c>
      <c r="C184" s="369" t="s">
        <v>558</v>
      </c>
      <c r="D184" s="372">
        <v>0</v>
      </c>
      <c r="E184" s="372">
        <v>0</v>
      </c>
      <c r="F184" s="372">
        <v>0</v>
      </c>
      <c r="G184" s="372">
        <v>0</v>
      </c>
      <c r="H184" s="372">
        <v>0</v>
      </c>
      <c r="I184" s="372">
        <v>0</v>
      </c>
      <c r="J184" s="372">
        <v>0</v>
      </c>
      <c r="K184" s="372">
        <v>1</v>
      </c>
      <c r="L184" s="372">
        <v>0</v>
      </c>
      <c r="M184" s="372">
        <v>0</v>
      </c>
      <c r="N184" s="372">
        <v>1</v>
      </c>
      <c r="O184" s="372">
        <v>0</v>
      </c>
      <c r="P184" s="372">
        <v>0</v>
      </c>
      <c r="Q184" s="372">
        <v>0</v>
      </c>
      <c r="R184" s="372">
        <v>0</v>
      </c>
      <c r="S184" s="372">
        <v>0</v>
      </c>
    </row>
    <row r="185" spans="1:19" ht="12.75">
      <c r="A185" s="369" t="s">
        <v>274</v>
      </c>
      <c r="B185" s="369" t="s">
        <v>273</v>
      </c>
      <c r="C185" s="369" t="s">
        <v>559</v>
      </c>
      <c r="D185" s="372">
        <v>0</v>
      </c>
      <c r="E185" s="372">
        <v>0</v>
      </c>
      <c r="F185" s="372">
        <v>0</v>
      </c>
      <c r="G185" s="372">
        <v>0</v>
      </c>
      <c r="H185" s="372">
        <v>0</v>
      </c>
      <c r="I185" s="372">
        <v>0</v>
      </c>
      <c r="J185" s="372">
        <v>0</v>
      </c>
      <c r="K185" s="372">
        <v>0</v>
      </c>
      <c r="L185" s="372">
        <v>0</v>
      </c>
      <c r="M185" s="372">
        <v>0</v>
      </c>
      <c r="N185" s="372">
        <v>0</v>
      </c>
      <c r="O185" s="372">
        <v>0</v>
      </c>
      <c r="P185" s="372">
        <v>0</v>
      </c>
      <c r="Q185" s="372">
        <v>0</v>
      </c>
      <c r="R185" s="372">
        <v>0</v>
      </c>
      <c r="S185" s="372">
        <v>0</v>
      </c>
    </row>
    <row r="186" spans="1:19" ht="12.75">
      <c r="A186" s="369" t="s">
        <v>2121</v>
      </c>
      <c r="B186" s="369" t="s">
        <v>2062</v>
      </c>
      <c r="C186" s="369" t="s">
        <v>560</v>
      </c>
      <c r="D186" s="372">
        <v>0</v>
      </c>
      <c r="E186" s="372">
        <v>0</v>
      </c>
      <c r="F186" s="372">
        <v>0</v>
      </c>
      <c r="G186" s="372">
        <v>0</v>
      </c>
      <c r="H186" s="372">
        <v>0</v>
      </c>
      <c r="I186" s="372">
        <v>0</v>
      </c>
      <c r="J186" s="372">
        <v>0</v>
      </c>
      <c r="K186" s="372">
        <v>0</v>
      </c>
      <c r="L186" s="372">
        <v>0</v>
      </c>
      <c r="M186" s="372">
        <v>0</v>
      </c>
      <c r="N186" s="372">
        <v>0</v>
      </c>
      <c r="O186" s="372">
        <v>0</v>
      </c>
      <c r="P186" s="372">
        <v>0</v>
      </c>
      <c r="Q186" s="372">
        <v>1</v>
      </c>
      <c r="R186" s="372">
        <v>0</v>
      </c>
      <c r="S186" s="372">
        <v>1</v>
      </c>
    </row>
    <row r="187" spans="1:19" ht="12.75">
      <c r="A187" s="369" t="s">
        <v>2122</v>
      </c>
      <c r="B187" s="369" t="s">
        <v>38</v>
      </c>
      <c r="C187" s="369" t="s">
        <v>561</v>
      </c>
      <c r="D187" s="372">
        <v>0</v>
      </c>
      <c r="E187" s="372">
        <v>0</v>
      </c>
      <c r="F187" s="372">
        <v>0</v>
      </c>
      <c r="G187" s="372">
        <v>0</v>
      </c>
      <c r="H187" s="372">
        <v>0</v>
      </c>
      <c r="I187" s="372">
        <v>0</v>
      </c>
      <c r="J187" s="372">
        <v>0</v>
      </c>
      <c r="K187" s="372">
        <v>0</v>
      </c>
      <c r="L187" s="372">
        <v>0</v>
      </c>
      <c r="M187" s="372">
        <v>0</v>
      </c>
      <c r="N187" s="372">
        <v>0</v>
      </c>
      <c r="O187" s="372">
        <v>0</v>
      </c>
      <c r="P187" s="372">
        <v>0</v>
      </c>
      <c r="Q187" s="372">
        <v>0</v>
      </c>
      <c r="R187" s="372">
        <v>1</v>
      </c>
      <c r="S187" s="372">
        <v>0</v>
      </c>
    </row>
    <row r="188" spans="1:19" ht="12.75">
      <c r="A188" s="369" t="s">
        <v>2295</v>
      </c>
      <c r="B188" s="369" t="s">
        <v>275</v>
      </c>
      <c r="C188" s="369" t="s">
        <v>562</v>
      </c>
      <c r="D188" s="372">
        <v>0</v>
      </c>
      <c r="E188" s="372">
        <v>0</v>
      </c>
      <c r="F188" s="372">
        <v>0</v>
      </c>
      <c r="G188" s="372">
        <v>0</v>
      </c>
      <c r="H188" s="372">
        <v>0</v>
      </c>
      <c r="I188" s="372">
        <v>0</v>
      </c>
      <c r="J188" s="372">
        <v>0</v>
      </c>
      <c r="K188" s="372">
        <v>0</v>
      </c>
      <c r="L188" s="372">
        <v>0</v>
      </c>
      <c r="M188" s="372">
        <v>0</v>
      </c>
      <c r="N188" s="372">
        <v>0</v>
      </c>
      <c r="O188" s="372">
        <v>0</v>
      </c>
      <c r="P188" s="372">
        <v>0</v>
      </c>
      <c r="Q188" s="372">
        <v>0</v>
      </c>
      <c r="R188" s="372">
        <v>0</v>
      </c>
      <c r="S188" s="372">
        <v>0</v>
      </c>
    </row>
    <row r="189" spans="1:19" ht="12.75">
      <c r="A189" s="369" t="s">
        <v>2123</v>
      </c>
      <c r="B189" s="369" t="s">
        <v>39</v>
      </c>
      <c r="C189" s="369" t="s">
        <v>563</v>
      </c>
      <c r="D189" s="372">
        <v>0</v>
      </c>
      <c r="E189" s="372">
        <v>0</v>
      </c>
      <c r="F189" s="372">
        <v>0</v>
      </c>
      <c r="G189" s="372">
        <v>0</v>
      </c>
      <c r="H189" s="372">
        <v>0</v>
      </c>
      <c r="I189" s="372">
        <v>0</v>
      </c>
      <c r="J189" s="372">
        <v>0</v>
      </c>
      <c r="K189" s="372">
        <v>0</v>
      </c>
      <c r="L189" s="372">
        <v>0</v>
      </c>
      <c r="M189" s="372">
        <v>0</v>
      </c>
      <c r="N189" s="372">
        <v>0</v>
      </c>
      <c r="O189" s="372">
        <v>0</v>
      </c>
      <c r="P189" s="372">
        <v>0</v>
      </c>
      <c r="Q189" s="372">
        <v>0</v>
      </c>
      <c r="R189" s="372">
        <v>0</v>
      </c>
      <c r="S189" s="372">
        <v>0</v>
      </c>
    </row>
    <row r="190" spans="1:19" ht="12.75">
      <c r="A190" s="369" t="s">
        <v>1805</v>
      </c>
      <c r="B190" s="369" t="s">
        <v>2296</v>
      </c>
      <c r="C190" s="369" t="s">
        <v>564</v>
      </c>
      <c r="D190" s="372">
        <v>0</v>
      </c>
      <c r="E190" s="372">
        <v>0</v>
      </c>
      <c r="F190" s="372">
        <v>0</v>
      </c>
      <c r="G190" s="372">
        <v>0</v>
      </c>
      <c r="H190" s="372">
        <v>0</v>
      </c>
      <c r="I190" s="372">
        <v>0</v>
      </c>
      <c r="J190" s="372">
        <v>0</v>
      </c>
      <c r="K190" s="372">
        <v>0</v>
      </c>
      <c r="L190" s="372">
        <v>0</v>
      </c>
      <c r="M190" s="372">
        <v>0</v>
      </c>
      <c r="N190" s="372">
        <v>0</v>
      </c>
      <c r="O190" s="372">
        <v>0</v>
      </c>
      <c r="P190" s="372">
        <v>0</v>
      </c>
      <c r="Q190" s="372">
        <v>0</v>
      </c>
      <c r="R190" s="372">
        <v>0</v>
      </c>
      <c r="S190" s="372">
        <v>0</v>
      </c>
    </row>
    <row r="191" spans="1:19" ht="12.75">
      <c r="A191" s="369" t="s">
        <v>1826</v>
      </c>
      <c r="B191" s="369" t="s">
        <v>1684</v>
      </c>
      <c r="C191" s="369" t="s">
        <v>565</v>
      </c>
      <c r="D191" s="372">
        <v>0</v>
      </c>
      <c r="E191" s="372">
        <v>0</v>
      </c>
      <c r="F191" s="372">
        <v>0</v>
      </c>
      <c r="G191" s="372">
        <v>0</v>
      </c>
      <c r="H191" s="372">
        <v>0</v>
      </c>
      <c r="I191" s="372">
        <v>0</v>
      </c>
      <c r="J191" s="372">
        <v>0</v>
      </c>
      <c r="K191" s="372">
        <v>0</v>
      </c>
      <c r="L191" s="372">
        <v>0</v>
      </c>
      <c r="M191" s="372">
        <v>0</v>
      </c>
      <c r="N191" s="372">
        <v>0</v>
      </c>
      <c r="O191" s="372">
        <v>0</v>
      </c>
      <c r="P191" s="372">
        <v>0</v>
      </c>
      <c r="Q191" s="372">
        <v>0</v>
      </c>
      <c r="R191" s="372">
        <v>0</v>
      </c>
      <c r="S191" s="372">
        <v>0</v>
      </c>
    </row>
    <row r="192" spans="1:19" ht="12.75">
      <c r="A192" s="369" t="s">
        <v>1537</v>
      </c>
      <c r="B192" s="369" t="s">
        <v>40</v>
      </c>
      <c r="C192" s="369" t="s">
        <v>566</v>
      </c>
      <c r="D192" s="372">
        <v>0</v>
      </c>
      <c r="E192" s="372">
        <v>0</v>
      </c>
      <c r="F192" s="372">
        <v>0</v>
      </c>
      <c r="G192" s="372">
        <v>0</v>
      </c>
      <c r="H192" s="372">
        <v>0</v>
      </c>
      <c r="I192" s="372">
        <v>0</v>
      </c>
      <c r="J192" s="372">
        <v>0</v>
      </c>
      <c r="K192" s="372">
        <v>0</v>
      </c>
      <c r="L192" s="372">
        <v>0</v>
      </c>
      <c r="M192" s="372">
        <v>0</v>
      </c>
      <c r="N192" s="372">
        <v>0</v>
      </c>
      <c r="O192" s="372">
        <v>0</v>
      </c>
      <c r="P192" s="372">
        <v>0</v>
      </c>
      <c r="Q192" s="372">
        <v>0</v>
      </c>
      <c r="R192" s="372">
        <v>1</v>
      </c>
      <c r="S192" s="372">
        <v>0</v>
      </c>
    </row>
    <row r="193" spans="1:19" ht="12.75">
      <c r="A193" s="369" t="s">
        <v>1538</v>
      </c>
      <c r="B193" s="369" t="s">
        <v>2063</v>
      </c>
      <c r="C193" s="369" t="s">
        <v>567</v>
      </c>
      <c r="D193" s="372">
        <v>1</v>
      </c>
      <c r="E193" s="372">
        <v>1</v>
      </c>
      <c r="F193" s="372">
        <v>0</v>
      </c>
      <c r="G193" s="372">
        <v>0</v>
      </c>
      <c r="H193" s="372">
        <v>0</v>
      </c>
      <c r="I193" s="372">
        <v>1</v>
      </c>
      <c r="J193" s="372">
        <v>0</v>
      </c>
      <c r="K193" s="372">
        <v>0</v>
      </c>
      <c r="L193" s="372">
        <v>1</v>
      </c>
      <c r="M193" s="372">
        <v>0</v>
      </c>
      <c r="N193" s="372">
        <v>1</v>
      </c>
      <c r="O193" s="372">
        <v>0</v>
      </c>
      <c r="P193" s="372">
        <v>1</v>
      </c>
      <c r="Q193" s="372">
        <v>0</v>
      </c>
      <c r="R193" s="372">
        <v>0</v>
      </c>
      <c r="S193" s="372">
        <v>0</v>
      </c>
    </row>
    <row r="194" spans="1:19" ht="12.75">
      <c r="A194" s="369" t="s">
        <v>1853</v>
      </c>
      <c r="B194" s="369" t="s">
        <v>2413</v>
      </c>
      <c r="C194" s="369" t="s">
        <v>568</v>
      </c>
      <c r="D194" s="372">
        <v>0</v>
      </c>
      <c r="E194" s="372">
        <v>0</v>
      </c>
      <c r="F194" s="372">
        <v>0</v>
      </c>
      <c r="G194" s="372">
        <v>0</v>
      </c>
      <c r="H194" s="372">
        <v>0</v>
      </c>
      <c r="I194" s="372">
        <v>0</v>
      </c>
      <c r="J194" s="372">
        <v>0</v>
      </c>
      <c r="K194" s="372">
        <v>0</v>
      </c>
      <c r="L194" s="372">
        <v>0</v>
      </c>
      <c r="M194" s="372">
        <v>0</v>
      </c>
      <c r="N194" s="372">
        <v>0</v>
      </c>
      <c r="O194" s="372">
        <v>0</v>
      </c>
      <c r="P194" s="372">
        <v>0</v>
      </c>
      <c r="Q194" s="372">
        <v>0</v>
      </c>
      <c r="R194" s="372">
        <v>0</v>
      </c>
      <c r="S194" s="372">
        <v>0</v>
      </c>
    </row>
    <row r="195" spans="1:19" ht="12.75">
      <c r="A195" s="369" t="s">
        <v>1539</v>
      </c>
      <c r="B195" s="369" t="s">
        <v>1462</v>
      </c>
      <c r="C195" s="369" t="s">
        <v>569</v>
      </c>
      <c r="D195" s="372">
        <v>1</v>
      </c>
      <c r="E195" s="372">
        <v>0</v>
      </c>
      <c r="F195" s="372">
        <v>0</v>
      </c>
      <c r="G195" s="372">
        <v>0</v>
      </c>
      <c r="H195" s="372">
        <v>0</v>
      </c>
      <c r="I195" s="372">
        <v>1</v>
      </c>
      <c r="J195" s="372">
        <v>0</v>
      </c>
      <c r="K195" s="372">
        <v>0</v>
      </c>
      <c r="L195" s="372">
        <v>0</v>
      </c>
      <c r="M195" s="372">
        <v>0</v>
      </c>
      <c r="N195" s="372">
        <v>0</v>
      </c>
      <c r="O195" s="372">
        <v>0</v>
      </c>
      <c r="P195" s="372">
        <v>1</v>
      </c>
      <c r="Q195" s="372">
        <v>0</v>
      </c>
      <c r="R195" s="372">
        <v>0</v>
      </c>
      <c r="S195" s="372">
        <v>0</v>
      </c>
    </row>
    <row r="196" spans="1:19" ht="12.75">
      <c r="A196" s="369" t="s">
        <v>1504</v>
      </c>
      <c r="B196" s="369" t="s">
        <v>1505</v>
      </c>
      <c r="C196" s="369"/>
      <c r="D196" s="372">
        <v>0</v>
      </c>
      <c r="E196" s="372">
        <v>0</v>
      </c>
      <c r="F196" s="372">
        <v>0</v>
      </c>
      <c r="G196" s="372">
        <v>0</v>
      </c>
      <c r="H196" s="372">
        <v>0</v>
      </c>
      <c r="I196" s="372">
        <v>0</v>
      </c>
      <c r="J196" s="372">
        <v>0</v>
      </c>
      <c r="K196" s="372">
        <v>0</v>
      </c>
      <c r="L196" s="372">
        <v>0</v>
      </c>
      <c r="M196" s="372">
        <v>0</v>
      </c>
      <c r="N196" s="372">
        <v>0</v>
      </c>
      <c r="O196" s="372">
        <v>0</v>
      </c>
      <c r="P196" s="372">
        <v>0</v>
      </c>
      <c r="Q196" s="372">
        <v>0</v>
      </c>
      <c r="R196" s="372">
        <v>0</v>
      </c>
      <c r="S196" s="372">
        <v>0</v>
      </c>
    </row>
    <row r="197" spans="1:19" ht="12.75">
      <c r="A197" s="369" t="s">
        <v>1262</v>
      </c>
      <c r="B197" s="369" t="s">
        <v>1144</v>
      </c>
      <c r="C197" s="369" t="s">
        <v>570</v>
      </c>
      <c r="D197" s="372">
        <v>0</v>
      </c>
      <c r="E197" s="372">
        <v>0</v>
      </c>
      <c r="F197" s="372">
        <v>0</v>
      </c>
      <c r="G197" s="372">
        <v>0</v>
      </c>
      <c r="H197" s="372">
        <v>0</v>
      </c>
      <c r="I197" s="372">
        <v>0</v>
      </c>
      <c r="J197" s="372">
        <v>0</v>
      </c>
      <c r="K197" s="372">
        <v>0</v>
      </c>
      <c r="L197" s="372">
        <v>0</v>
      </c>
      <c r="M197" s="372">
        <v>0</v>
      </c>
      <c r="N197" s="372">
        <v>0</v>
      </c>
      <c r="O197" s="372">
        <v>0</v>
      </c>
      <c r="P197" s="372">
        <v>0</v>
      </c>
      <c r="Q197" s="372">
        <v>1</v>
      </c>
      <c r="R197" s="372">
        <v>0</v>
      </c>
      <c r="S197" s="372">
        <v>0</v>
      </c>
    </row>
    <row r="198" spans="1:19" ht="12.75">
      <c r="A198" s="369" t="s">
        <v>312</v>
      </c>
      <c r="B198" s="369" t="s">
        <v>1709</v>
      </c>
      <c r="C198" s="369" t="s">
        <v>571</v>
      </c>
      <c r="D198" s="372">
        <v>1</v>
      </c>
      <c r="E198" s="372">
        <v>1</v>
      </c>
      <c r="F198" s="372">
        <v>0</v>
      </c>
      <c r="G198" s="372">
        <v>1</v>
      </c>
      <c r="H198" s="372">
        <v>1</v>
      </c>
      <c r="I198" s="372">
        <v>1</v>
      </c>
      <c r="J198" s="372">
        <v>1</v>
      </c>
      <c r="K198" s="372">
        <v>1</v>
      </c>
      <c r="L198" s="372">
        <v>1</v>
      </c>
      <c r="M198" s="372">
        <v>0</v>
      </c>
      <c r="N198" s="372">
        <v>1</v>
      </c>
      <c r="O198" s="372">
        <v>1</v>
      </c>
      <c r="P198" s="372">
        <v>1</v>
      </c>
      <c r="Q198" s="372">
        <v>1</v>
      </c>
      <c r="R198" s="372">
        <v>0</v>
      </c>
      <c r="S198" s="372">
        <v>1</v>
      </c>
    </row>
    <row r="199" spans="1:19" ht="12.75">
      <c r="A199" s="369" t="s">
        <v>1986</v>
      </c>
      <c r="B199" s="369" t="s">
        <v>1854</v>
      </c>
      <c r="C199" s="369" t="s">
        <v>572</v>
      </c>
      <c r="D199" s="372">
        <v>0</v>
      </c>
      <c r="E199" s="372">
        <v>0</v>
      </c>
      <c r="F199" s="372">
        <v>0</v>
      </c>
      <c r="G199" s="372">
        <v>0</v>
      </c>
      <c r="H199" s="372">
        <v>0</v>
      </c>
      <c r="I199" s="372">
        <v>0</v>
      </c>
      <c r="J199" s="372">
        <v>0</v>
      </c>
      <c r="K199" s="372">
        <v>0</v>
      </c>
      <c r="L199" s="372">
        <v>0</v>
      </c>
      <c r="M199" s="372">
        <v>0</v>
      </c>
      <c r="N199" s="372">
        <v>0</v>
      </c>
      <c r="O199" s="372">
        <v>0</v>
      </c>
      <c r="P199" s="372">
        <v>0</v>
      </c>
      <c r="Q199" s="372">
        <v>0</v>
      </c>
      <c r="R199" s="372">
        <v>0</v>
      </c>
      <c r="S199" s="372">
        <v>0</v>
      </c>
    </row>
    <row r="200" spans="1:19" ht="12.75">
      <c r="A200" s="369" t="s">
        <v>1987</v>
      </c>
      <c r="B200" s="369" t="s">
        <v>1987</v>
      </c>
      <c r="C200" s="369" t="s">
        <v>573</v>
      </c>
      <c r="D200" s="372">
        <v>0</v>
      </c>
      <c r="E200" s="372">
        <v>0</v>
      </c>
      <c r="F200" s="372">
        <v>0</v>
      </c>
      <c r="G200" s="372">
        <v>0</v>
      </c>
      <c r="H200" s="372">
        <v>0</v>
      </c>
      <c r="I200" s="372">
        <v>0</v>
      </c>
      <c r="J200" s="372">
        <v>0</v>
      </c>
      <c r="K200" s="372">
        <v>0</v>
      </c>
      <c r="L200" s="372">
        <v>0</v>
      </c>
      <c r="M200" s="372">
        <v>0</v>
      </c>
      <c r="N200" s="372">
        <v>0</v>
      </c>
      <c r="O200" s="372">
        <v>0</v>
      </c>
      <c r="P200" s="372">
        <v>0</v>
      </c>
      <c r="Q200" s="372">
        <v>0</v>
      </c>
      <c r="R200" s="372">
        <v>0</v>
      </c>
      <c r="S200" s="372">
        <v>0</v>
      </c>
    </row>
    <row r="201" spans="1:19" ht="12.75">
      <c r="A201" s="369" t="s">
        <v>313</v>
      </c>
      <c r="B201" s="369" t="s">
        <v>41</v>
      </c>
      <c r="C201" s="369" t="s">
        <v>574</v>
      </c>
      <c r="D201" s="372">
        <v>0</v>
      </c>
      <c r="E201" s="372">
        <v>0</v>
      </c>
      <c r="F201" s="372">
        <v>0</v>
      </c>
      <c r="G201" s="372">
        <v>0</v>
      </c>
      <c r="H201" s="372">
        <v>0</v>
      </c>
      <c r="I201" s="372">
        <v>0</v>
      </c>
      <c r="J201" s="372">
        <v>0</v>
      </c>
      <c r="K201" s="372">
        <v>0</v>
      </c>
      <c r="L201" s="372">
        <v>0</v>
      </c>
      <c r="M201" s="372">
        <v>0</v>
      </c>
      <c r="N201" s="372">
        <v>0</v>
      </c>
      <c r="O201" s="372">
        <v>0</v>
      </c>
      <c r="P201" s="372">
        <v>0</v>
      </c>
      <c r="Q201" s="372">
        <v>0</v>
      </c>
      <c r="R201" s="372">
        <v>0</v>
      </c>
      <c r="S201" s="372">
        <v>0</v>
      </c>
    </row>
    <row r="202" spans="1:19" ht="12.75">
      <c r="A202" s="369" t="s">
        <v>48</v>
      </c>
      <c r="B202" s="369" t="s">
        <v>47</v>
      </c>
      <c r="C202" s="369"/>
      <c r="D202" s="372">
        <v>0</v>
      </c>
      <c r="E202" s="372">
        <v>0</v>
      </c>
      <c r="F202" s="372">
        <v>0</v>
      </c>
      <c r="G202" s="372">
        <v>0</v>
      </c>
      <c r="H202" s="372">
        <v>0</v>
      </c>
      <c r="I202" s="372">
        <v>0</v>
      </c>
      <c r="J202" s="372">
        <v>0</v>
      </c>
      <c r="K202" s="372">
        <v>0</v>
      </c>
      <c r="L202" s="372">
        <v>0</v>
      </c>
      <c r="M202" s="372">
        <v>0</v>
      </c>
      <c r="N202" s="372">
        <v>0</v>
      </c>
      <c r="O202" s="372">
        <v>0</v>
      </c>
      <c r="P202" s="372">
        <v>0</v>
      </c>
      <c r="Q202" s="372">
        <v>0</v>
      </c>
      <c r="R202" s="372">
        <v>0</v>
      </c>
      <c r="S202" s="372">
        <v>0</v>
      </c>
    </row>
    <row r="203" spans="1:19" ht="12.75">
      <c r="A203" s="369" t="s">
        <v>2215</v>
      </c>
      <c r="B203" s="369" t="s">
        <v>1463</v>
      </c>
      <c r="C203" s="369" t="s">
        <v>575</v>
      </c>
      <c r="D203" s="372">
        <v>1</v>
      </c>
      <c r="E203" s="372">
        <v>1</v>
      </c>
      <c r="F203" s="372">
        <v>0</v>
      </c>
      <c r="G203" s="372">
        <v>1</v>
      </c>
      <c r="H203" s="372">
        <v>0</v>
      </c>
      <c r="I203" s="372">
        <v>0</v>
      </c>
      <c r="J203" s="372">
        <v>0</v>
      </c>
      <c r="K203" s="372">
        <v>1</v>
      </c>
      <c r="L203" s="372">
        <v>0</v>
      </c>
      <c r="M203" s="372">
        <v>1</v>
      </c>
      <c r="N203" s="372">
        <v>1</v>
      </c>
      <c r="O203" s="372">
        <v>0</v>
      </c>
      <c r="P203" s="372">
        <v>0</v>
      </c>
      <c r="Q203" s="372">
        <v>0</v>
      </c>
      <c r="R203" s="372">
        <v>1</v>
      </c>
      <c r="S203" s="372">
        <v>1</v>
      </c>
    </row>
    <row r="204" spans="1:19" ht="12.75">
      <c r="A204" s="369" t="s">
        <v>1936</v>
      </c>
      <c r="B204" s="369" t="s">
        <v>1567</v>
      </c>
      <c r="C204" s="369"/>
      <c r="D204" s="372">
        <v>0</v>
      </c>
      <c r="E204" s="372">
        <v>0</v>
      </c>
      <c r="F204" s="372">
        <v>0</v>
      </c>
      <c r="G204" s="372">
        <v>0</v>
      </c>
      <c r="H204" s="372">
        <v>0</v>
      </c>
      <c r="I204" s="372">
        <v>0</v>
      </c>
      <c r="J204" s="372">
        <v>0</v>
      </c>
      <c r="K204" s="372">
        <v>0</v>
      </c>
      <c r="L204" s="372">
        <v>0</v>
      </c>
      <c r="M204" s="372">
        <v>0</v>
      </c>
      <c r="N204" s="372">
        <v>0</v>
      </c>
      <c r="O204" s="372">
        <v>0</v>
      </c>
      <c r="P204" s="372">
        <v>0</v>
      </c>
      <c r="Q204" s="372">
        <v>0</v>
      </c>
      <c r="R204" s="372">
        <v>0</v>
      </c>
      <c r="S204" s="372">
        <v>0</v>
      </c>
    </row>
    <row r="205" spans="1:19" ht="12.75">
      <c r="A205" s="369" t="s">
        <v>577</v>
      </c>
      <c r="B205" s="369" t="s">
        <v>576</v>
      </c>
      <c r="C205" s="369"/>
      <c r="D205" s="372">
        <v>0</v>
      </c>
      <c r="E205" s="372">
        <v>0</v>
      </c>
      <c r="F205" s="372">
        <v>0</v>
      </c>
      <c r="G205" s="372">
        <v>0</v>
      </c>
      <c r="H205" s="372">
        <v>0</v>
      </c>
      <c r="I205" s="372">
        <v>0</v>
      </c>
      <c r="J205" s="372">
        <v>0</v>
      </c>
      <c r="K205" s="372">
        <v>0</v>
      </c>
      <c r="L205" s="372">
        <v>0</v>
      </c>
      <c r="M205" s="372">
        <v>0</v>
      </c>
      <c r="N205" s="372">
        <v>0</v>
      </c>
      <c r="O205" s="372">
        <v>0</v>
      </c>
      <c r="P205" s="372">
        <v>0</v>
      </c>
      <c r="Q205" s="372">
        <v>0</v>
      </c>
      <c r="R205" s="372">
        <v>0</v>
      </c>
      <c r="S205" s="372">
        <v>0</v>
      </c>
    </row>
    <row r="206" spans="1:19" ht="12.75">
      <c r="A206" s="369" t="s">
        <v>1731</v>
      </c>
      <c r="B206" s="369" t="s">
        <v>1464</v>
      </c>
      <c r="C206" s="369" t="s">
        <v>578</v>
      </c>
      <c r="D206" s="372">
        <v>0</v>
      </c>
      <c r="E206" s="372">
        <v>0</v>
      </c>
      <c r="F206" s="372">
        <v>0</v>
      </c>
      <c r="G206" s="372">
        <v>0</v>
      </c>
      <c r="H206" s="372">
        <v>0</v>
      </c>
      <c r="I206" s="372">
        <v>0</v>
      </c>
      <c r="J206" s="372">
        <v>0</v>
      </c>
      <c r="K206" s="372">
        <v>0</v>
      </c>
      <c r="L206" s="372">
        <v>0</v>
      </c>
      <c r="M206" s="372">
        <v>0</v>
      </c>
      <c r="N206" s="372">
        <v>0</v>
      </c>
      <c r="O206" s="372">
        <v>0</v>
      </c>
      <c r="P206" s="372">
        <v>0</v>
      </c>
      <c r="Q206" s="372">
        <v>0</v>
      </c>
      <c r="R206" s="372">
        <v>0</v>
      </c>
      <c r="S206" s="372">
        <v>0</v>
      </c>
    </row>
    <row r="207" spans="1:19" ht="12.75">
      <c r="A207" s="369" t="s">
        <v>1313</v>
      </c>
      <c r="B207" s="369" t="s">
        <v>370</v>
      </c>
      <c r="C207" s="369" t="s">
        <v>579</v>
      </c>
      <c r="D207" s="372">
        <v>0</v>
      </c>
      <c r="E207" s="372">
        <v>0</v>
      </c>
      <c r="F207" s="372">
        <v>0</v>
      </c>
      <c r="G207" s="372">
        <v>0</v>
      </c>
      <c r="H207" s="372">
        <v>0</v>
      </c>
      <c r="I207" s="372">
        <v>0</v>
      </c>
      <c r="J207" s="372">
        <v>0</v>
      </c>
      <c r="K207" s="372">
        <v>0</v>
      </c>
      <c r="L207" s="372">
        <v>0</v>
      </c>
      <c r="M207" s="372">
        <v>0</v>
      </c>
      <c r="N207" s="372">
        <v>0</v>
      </c>
      <c r="O207" s="372">
        <v>0</v>
      </c>
      <c r="P207" s="372">
        <v>0</v>
      </c>
      <c r="Q207" s="372">
        <v>0</v>
      </c>
      <c r="R207" s="372">
        <v>0</v>
      </c>
      <c r="S207" s="372">
        <v>0</v>
      </c>
    </row>
    <row r="208" spans="1:19" ht="12.75">
      <c r="A208" s="369" t="s">
        <v>1746</v>
      </c>
      <c r="B208" s="369" t="s">
        <v>1314</v>
      </c>
      <c r="C208" s="369" t="s">
        <v>580</v>
      </c>
      <c r="D208" s="372">
        <v>0</v>
      </c>
      <c r="E208" s="372">
        <v>0</v>
      </c>
      <c r="F208" s="372">
        <v>0</v>
      </c>
      <c r="G208" s="372">
        <v>0</v>
      </c>
      <c r="H208" s="372">
        <v>0</v>
      </c>
      <c r="I208" s="372">
        <v>0</v>
      </c>
      <c r="J208" s="372">
        <v>0</v>
      </c>
      <c r="K208" s="372">
        <v>0</v>
      </c>
      <c r="L208" s="372">
        <v>0</v>
      </c>
      <c r="M208" s="372">
        <v>0</v>
      </c>
      <c r="N208" s="372">
        <v>0</v>
      </c>
      <c r="O208" s="372">
        <v>0</v>
      </c>
      <c r="P208" s="372">
        <v>0</v>
      </c>
      <c r="Q208" s="372">
        <v>0</v>
      </c>
      <c r="R208" s="372">
        <v>0</v>
      </c>
      <c r="S208" s="372">
        <v>0</v>
      </c>
    </row>
    <row r="209" spans="1:19" ht="12.75">
      <c r="A209" s="369" t="s">
        <v>235</v>
      </c>
      <c r="B209" s="369" t="s">
        <v>1747</v>
      </c>
      <c r="C209" s="369" t="s">
        <v>581</v>
      </c>
      <c r="D209" s="372">
        <v>0</v>
      </c>
      <c r="E209" s="372">
        <v>0</v>
      </c>
      <c r="F209" s="372">
        <v>0</v>
      </c>
      <c r="G209" s="372">
        <v>0</v>
      </c>
      <c r="H209" s="372">
        <v>0</v>
      </c>
      <c r="I209" s="372">
        <v>0</v>
      </c>
      <c r="J209" s="372">
        <v>0</v>
      </c>
      <c r="K209" s="372">
        <v>0</v>
      </c>
      <c r="L209" s="372">
        <v>0</v>
      </c>
      <c r="M209" s="372">
        <v>0</v>
      </c>
      <c r="N209" s="372">
        <v>0</v>
      </c>
      <c r="O209" s="372">
        <v>0</v>
      </c>
      <c r="P209" s="372">
        <v>0</v>
      </c>
      <c r="Q209" s="372">
        <v>0</v>
      </c>
      <c r="R209" s="372">
        <v>0</v>
      </c>
      <c r="S209" s="372">
        <v>0</v>
      </c>
    </row>
    <row r="210" spans="1:19" ht="12.75">
      <c r="A210" s="369" t="s">
        <v>1732</v>
      </c>
      <c r="B210" s="369" t="s">
        <v>42</v>
      </c>
      <c r="C210" s="369" t="s">
        <v>582</v>
      </c>
      <c r="D210" s="372">
        <v>0</v>
      </c>
      <c r="E210" s="372">
        <v>0</v>
      </c>
      <c r="F210" s="372">
        <v>0</v>
      </c>
      <c r="G210" s="372">
        <v>0</v>
      </c>
      <c r="H210" s="372">
        <v>0</v>
      </c>
      <c r="I210" s="372">
        <v>0</v>
      </c>
      <c r="J210" s="372">
        <v>0</v>
      </c>
      <c r="K210" s="372">
        <v>0</v>
      </c>
      <c r="L210" s="372">
        <v>0</v>
      </c>
      <c r="M210" s="372">
        <v>0</v>
      </c>
      <c r="N210" s="372">
        <v>0</v>
      </c>
      <c r="O210" s="372">
        <v>0</v>
      </c>
      <c r="P210" s="372">
        <v>0</v>
      </c>
      <c r="Q210" s="372">
        <v>0</v>
      </c>
      <c r="R210" s="372">
        <v>0</v>
      </c>
      <c r="S210" s="372">
        <v>0</v>
      </c>
    </row>
    <row r="211" spans="1:19" ht="12.75">
      <c r="A211" s="369" t="s">
        <v>1236</v>
      </c>
      <c r="B211" s="369" t="s">
        <v>236</v>
      </c>
      <c r="C211" s="369"/>
      <c r="D211" s="372">
        <v>0</v>
      </c>
      <c r="E211" s="372">
        <v>0</v>
      </c>
      <c r="F211" s="372">
        <v>0</v>
      </c>
      <c r="G211" s="372">
        <v>0</v>
      </c>
      <c r="H211" s="372">
        <v>0</v>
      </c>
      <c r="I211" s="372">
        <v>0</v>
      </c>
      <c r="J211" s="372">
        <v>0</v>
      </c>
      <c r="K211" s="372">
        <v>0</v>
      </c>
      <c r="L211" s="372">
        <v>0</v>
      </c>
      <c r="M211" s="372">
        <v>0</v>
      </c>
      <c r="N211" s="372">
        <v>0</v>
      </c>
      <c r="O211" s="372">
        <v>0</v>
      </c>
      <c r="P211" s="372">
        <v>0</v>
      </c>
      <c r="Q211" s="372">
        <v>0</v>
      </c>
      <c r="R211" s="372">
        <v>0</v>
      </c>
      <c r="S211" s="372">
        <v>0</v>
      </c>
    </row>
    <row r="212" spans="1:19" ht="12.75">
      <c r="A212" s="369" t="s">
        <v>2375</v>
      </c>
      <c r="B212" s="369" t="s">
        <v>1465</v>
      </c>
      <c r="C212" s="369" t="s">
        <v>583</v>
      </c>
      <c r="D212" s="372">
        <v>0</v>
      </c>
      <c r="E212" s="372">
        <v>0</v>
      </c>
      <c r="F212" s="372">
        <v>0</v>
      </c>
      <c r="G212" s="372">
        <v>0</v>
      </c>
      <c r="H212" s="372">
        <v>0</v>
      </c>
      <c r="I212" s="372">
        <v>0</v>
      </c>
      <c r="J212" s="372">
        <v>0</v>
      </c>
      <c r="K212" s="372">
        <v>0</v>
      </c>
      <c r="L212" s="372">
        <v>0</v>
      </c>
      <c r="M212" s="372">
        <v>0</v>
      </c>
      <c r="N212" s="372">
        <v>0</v>
      </c>
      <c r="O212" s="372">
        <v>0</v>
      </c>
      <c r="P212" s="372">
        <v>0</v>
      </c>
      <c r="Q212" s="372">
        <v>0</v>
      </c>
      <c r="R212" s="372">
        <v>0</v>
      </c>
      <c r="S212" s="372">
        <v>0</v>
      </c>
    </row>
    <row r="213" spans="1:19" ht="12.75">
      <c r="A213" s="369" t="s">
        <v>1238</v>
      </c>
      <c r="B213" s="369" t="s">
        <v>1237</v>
      </c>
      <c r="C213" s="369" t="s">
        <v>584</v>
      </c>
      <c r="D213" s="372">
        <v>0</v>
      </c>
      <c r="E213" s="372">
        <v>0</v>
      </c>
      <c r="F213" s="372">
        <v>0</v>
      </c>
      <c r="G213" s="372">
        <v>0</v>
      </c>
      <c r="H213" s="372">
        <v>0</v>
      </c>
      <c r="I213" s="372">
        <v>0</v>
      </c>
      <c r="J213" s="372">
        <v>0</v>
      </c>
      <c r="K213" s="372">
        <v>0</v>
      </c>
      <c r="L213" s="372">
        <v>0</v>
      </c>
      <c r="M213" s="372">
        <v>0</v>
      </c>
      <c r="N213" s="372">
        <v>0</v>
      </c>
      <c r="O213" s="372">
        <v>0</v>
      </c>
      <c r="P213" s="372">
        <v>0</v>
      </c>
      <c r="Q213" s="372">
        <v>0</v>
      </c>
      <c r="R213" s="372">
        <v>0</v>
      </c>
      <c r="S213" s="372">
        <v>0</v>
      </c>
    </row>
    <row r="214" spans="1:19" ht="12.75">
      <c r="A214" s="369" t="s">
        <v>1311</v>
      </c>
      <c r="B214" s="369" t="s">
        <v>1239</v>
      </c>
      <c r="C214" s="369" t="s">
        <v>585</v>
      </c>
      <c r="D214" s="372">
        <v>0</v>
      </c>
      <c r="E214" s="372">
        <v>0</v>
      </c>
      <c r="F214" s="372">
        <v>0</v>
      </c>
      <c r="G214" s="372">
        <v>0</v>
      </c>
      <c r="H214" s="372">
        <v>0</v>
      </c>
      <c r="I214" s="372">
        <v>0</v>
      </c>
      <c r="J214" s="372">
        <v>0</v>
      </c>
      <c r="K214" s="372">
        <v>0</v>
      </c>
      <c r="L214" s="372">
        <v>0</v>
      </c>
      <c r="M214" s="372">
        <v>0</v>
      </c>
      <c r="N214" s="372">
        <v>0</v>
      </c>
      <c r="O214" s="372">
        <v>0</v>
      </c>
      <c r="P214" s="372">
        <v>0</v>
      </c>
      <c r="Q214" s="372">
        <v>0</v>
      </c>
      <c r="R214" s="372">
        <v>0</v>
      </c>
      <c r="S214" s="372">
        <v>0</v>
      </c>
    </row>
    <row r="215" spans="1:19" ht="12.75">
      <c r="A215" s="369" t="s">
        <v>1325</v>
      </c>
      <c r="B215" s="369" t="s">
        <v>1312</v>
      </c>
      <c r="C215" s="369" t="s">
        <v>586</v>
      </c>
      <c r="D215" s="372">
        <v>0</v>
      </c>
      <c r="E215" s="372">
        <v>0</v>
      </c>
      <c r="F215" s="372">
        <v>0</v>
      </c>
      <c r="G215" s="372">
        <v>0</v>
      </c>
      <c r="H215" s="372">
        <v>0</v>
      </c>
      <c r="I215" s="372">
        <v>0</v>
      </c>
      <c r="J215" s="372">
        <v>0</v>
      </c>
      <c r="K215" s="372">
        <v>0</v>
      </c>
      <c r="L215" s="372">
        <v>0</v>
      </c>
      <c r="M215" s="372">
        <v>0</v>
      </c>
      <c r="N215" s="372">
        <v>0</v>
      </c>
      <c r="O215" s="372">
        <v>0</v>
      </c>
      <c r="P215" s="372">
        <v>0</v>
      </c>
      <c r="Q215" s="372">
        <v>0</v>
      </c>
      <c r="R215" s="372">
        <v>0</v>
      </c>
      <c r="S215" s="372">
        <v>0</v>
      </c>
    </row>
    <row r="216" spans="1:19" ht="12.75">
      <c r="A216" s="369" t="s">
        <v>2216</v>
      </c>
      <c r="B216" s="369" t="s">
        <v>1466</v>
      </c>
      <c r="C216" s="369" t="s">
        <v>587</v>
      </c>
      <c r="D216" s="372">
        <v>0</v>
      </c>
      <c r="E216" s="372">
        <v>0</v>
      </c>
      <c r="F216" s="372">
        <v>0</v>
      </c>
      <c r="G216" s="372">
        <v>0</v>
      </c>
      <c r="H216" s="372">
        <v>0</v>
      </c>
      <c r="I216" s="372">
        <v>0</v>
      </c>
      <c r="J216" s="372">
        <v>0</v>
      </c>
      <c r="K216" s="372">
        <v>0</v>
      </c>
      <c r="L216" s="372">
        <v>0</v>
      </c>
      <c r="M216" s="372">
        <v>0</v>
      </c>
      <c r="N216" s="372">
        <v>0</v>
      </c>
      <c r="O216" s="372">
        <v>0</v>
      </c>
      <c r="P216" s="372">
        <v>0</v>
      </c>
      <c r="Q216" s="372">
        <v>0</v>
      </c>
      <c r="R216" s="372">
        <v>0</v>
      </c>
      <c r="S216" s="372">
        <v>0</v>
      </c>
    </row>
    <row r="217" spans="1:19" ht="12.75">
      <c r="A217" s="369" t="s">
        <v>1799</v>
      </c>
      <c r="B217" s="369" t="s">
        <v>1800</v>
      </c>
      <c r="C217" s="369"/>
      <c r="D217" s="372">
        <v>0</v>
      </c>
      <c r="E217" s="372">
        <v>0</v>
      </c>
      <c r="F217" s="372">
        <v>0</v>
      </c>
      <c r="G217" s="372">
        <v>0</v>
      </c>
      <c r="H217" s="372">
        <v>0</v>
      </c>
      <c r="I217" s="372">
        <v>0</v>
      </c>
      <c r="J217" s="372">
        <v>0</v>
      </c>
      <c r="K217" s="372">
        <v>0</v>
      </c>
      <c r="L217" s="372">
        <v>0</v>
      </c>
      <c r="M217" s="372">
        <v>0</v>
      </c>
      <c r="N217" s="372">
        <v>0</v>
      </c>
      <c r="O217" s="372">
        <v>0</v>
      </c>
      <c r="P217" s="372">
        <v>0</v>
      </c>
      <c r="Q217" s="372">
        <v>0</v>
      </c>
      <c r="R217" s="372">
        <v>0</v>
      </c>
      <c r="S217" s="372">
        <v>0</v>
      </c>
    </row>
    <row r="218" spans="1:19" ht="12.75">
      <c r="A218" s="369" t="s">
        <v>1568</v>
      </c>
      <c r="B218" s="369" t="s">
        <v>1569</v>
      </c>
      <c r="C218" s="369"/>
      <c r="D218" s="372">
        <v>0</v>
      </c>
      <c r="E218" s="372">
        <v>0</v>
      </c>
      <c r="F218" s="372">
        <v>0</v>
      </c>
      <c r="G218" s="372">
        <v>0</v>
      </c>
      <c r="H218" s="372">
        <v>0</v>
      </c>
      <c r="I218" s="372">
        <v>0</v>
      </c>
      <c r="J218" s="372">
        <v>0</v>
      </c>
      <c r="K218" s="372">
        <v>0</v>
      </c>
      <c r="L218" s="372">
        <v>0</v>
      </c>
      <c r="M218" s="372">
        <v>0</v>
      </c>
      <c r="N218" s="372">
        <v>0</v>
      </c>
      <c r="O218" s="372">
        <v>0</v>
      </c>
      <c r="P218" s="372">
        <v>0</v>
      </c>
      <c r="Q218" s="372">
        <v>0</v>
      </c>
      <c r="R218" s="372">
        <v>0</v>
      </c>
      <c r="S218" s="372">
        <v>0</v>
      </c>
    </row>
    <row r="219" spans="1:19" ht="12.75">
      <c r="A219" s="369" t="s">
        <v>1327</v>
      </c>
      <c r="B219" s="369" t="s">
        <v>1326</v>
      </c>
      <c r="C219" s="369"/>
      <c r="D219" s="372">
        <v>0</v>
      </c>
      <c r="E219" s="372">
        <v>0</v>
      </c>
      <c r="F219" s="372">
        <v>0</v>
      </c>
      <c r="G219" s="372">
        <v>0</v>
      </c>
      <c r="H219" s="372">
        <v>0</v>
      </c>
      <c r="I219" s="372">
        <v>0</v>
      </c>
      <c r="J219" s="372">
        <v>0</v>
      </c>
      <c r="K219" s="372">
        <v>0</v>
      </c>
      <c r="L219" s="372">
        <v>0</v>
      </c>
      <c r="M219" s="372">
        <v>0</v>
      </c>
      <c r="N219" s="372">
        <v>0</v>
      </c>
      <c r="O219" s="372">
        <v>0</v>
      </c>
      <c r="P219" s="372">
        <v>0</v>
      </c>
      <c r="Q219" s="372">
        <v>0</v>
      </c>
      <c r="R219" s="372">
        <v>0</v>
      </c>
      <c r="S219" s="372">
        <v>0</v>
      </c>
    </row>
    <row r="220" spans="1:19" ht="12.75">
      <c r="A220" s="369" t="s">
        <v>2217</v>
      </c>
      <c r="B220" s="369" t="s">
        <v>1467</v>
      </c>
      <c r="C220" s="369" t="s">
        <v>588</v>
      </c>
      <c r="D220" s="372">
        <v>0</v>
      </c>
      <c r="E220" s="372">
        <v>0</v>
      </c>
      <c r="F220" s="372">
        <v>0</v>
      </c>
      <c r="G220" s="372">
        <v>0</v>
      </c>
      <c r="H220" s="372">
        <v>0</v>
      </c>
      <c r="I220" s="372">
        <v>0</v>
      </c>
      <c r="J220" s="372">
        <v>0</v>
      </c>
      <c r="K220" s="372">
        <v>0</v>
      </c>
      <c r="L220" s="372">
        <v>0</v>
      </c>
      <c r="M220" s="372">
        <v>0</v>
      </c>
      <c r="N220" s="372">
        <v>0</v>
      </c>
      <c r="O220" s="372">
        <v>0</v>
      </c>
      <c r="P220" s="372">
        <v>0</v>
      </c>
      <c r="Q220" s="372">
        <v>0</v>
      </c>
      <c r="R220" s="372">
        <v>0</v>
      </c>
      <c r="S220" s="372">
        <v>0</v>
      </c>
    </row>
    <row r="221" spans="1:19" ht="12.75">
      <c r="A221" s="369" t="s">
        <v>2253</v>
      </c>
      <c r="B221" s="369" t="s">
        <v>1646</v>
      </c>
      <c r="C221" s="369" t="s">
        <v>589</v>
      </c>
      <c r="D221" s="372">
        <v>1</v>
      </c>
      <c r="E221" s="372">
        <v>0</v>
      </c>
      <c r="F221" s="372">
        <v>0</v>
      </c>
      <c r="G221" s="372">
        <v>0</v>
      </c>
      <c r="H221" s="372">
        <v>0</v>
      </c>
      <c r="I221" s="372">
        <v>0</v>
      </c>
      <c r="J221" s="372">
        <v>0</v>
      </c>
      <c r="K221" s="372">
        <v>0</v>
      </c>
      <c r="L221" s="372">
        <v>0</v>
      </c>
      <c r="M221" s="372">
        <v>0</v>
      </c>
      <c r="N221" s="372">
        <v>0</v>
      </c>
      <c r="O221" s="372">
        <v>0</v>
      </c>
      <c r="P221" s="372">
        <v>0</v>
      </c>
      <c r="Q221" s="372">
        <v>0</v>
      </c>
      <c r="R221" s="372">
        <v>0</v>
      </c>
      <c r="S221" s="372">
        <v>0</v>
      </c>
    </row>
    <row r="222" spans="1:19" ht="12.75">
      <c r="A222" s="369" t="s">
        <v>2254</v>
      </c>
      <c r="B222" s="369" t="s">
        <v>1647</v>
      </c>
      <c r="C222" s="369" t="s">
        <v>590</v>
      </c>
      <c r="D222" s="372">
        <v>1</v>
      </c>
      <c r="E222" s="372">
        <v>1</v>
      </c>
      <c r="F222" s="372">
        <v>0</v>
      </c>
      <c r="G222" s="372">
        <v>0</v>
      </c>
      <c r="H222" s="372">
        <v>0</v>
      </c>
      <c r="I222" s="372">
        <v>1</v>
      </c>
      <c r="J222" s="372">
        <v>0</v>
      </c>
      <c r="K222" s="372">
        <v>0</v>
      </c>
      <c r="L222" s="372">
        <v>0</v>
      </c>
      <c r="M222" s="372">
        <v>0</v>
      </c>
      <c r="N222" s="372">
        <v>0</v>
      </c>
      <c r="O222" s="372">
        <v>0</v>
      </c>
      <c r="P222" s="372">
        <v>1</v>
      </c>
      <c r="Q222" s="372">
        <v>1</v>
      </c>
      <c r="R222" s="372">
        <v>0</v>
      </c>
      <c r="S222" s="372">
        <v>0</v>
      </c>
    </row>
    <row r="223" spans="1:19" ht="12.75">
      <c r="A223" s="369" t="s">
        <v>2255</v>
      </c>
      <c r="B223" s="369" t="s">
        <v>1648</v>
      </c>
      <c r="C223" s="369" t="s">
        <v>591</v>
      </c>
      <c r="D223" s="372">
        <v>0</v>
      </c>
      <c r="E223" s="372">
        <v>0</v>
      </c>
      <c r="F223" s="372">
        <v>0</v>
      </c>
      <c r="G223" s="372">
        <v>0</v>
      </c>
      <c r="H223" s="372">
        <v>0</v>
      </c>
      <c r="I223" s="372">
        <v>0</v>
      </c>
      <c r="J223" s="372">
        <v>0</v>
      </c>
      <c r="K223" s="372">
        <v>0</v>
      </c>
      <c r="L223" s="372">
        <v>0</v>
      </c>
      <c r="M223" s="372">
        <v>0</v>
      </c>
      <c r="N223" s="372">
        <v>0</v>
      </c>
      <c r="O223" s="372">
        <v>0</v>
      </c>
      <c r="P223" s="372">
        <v>0</v>
      </c>
      <c r="Q223" s="372">
        <v>0</v>
      </c>
      <c r="R223" s="372">
        <v>0</v>
      </c>
      <c r="S223" s="372">
        <v>0</v>
      </c>
    </row>
    <row r="224" spans="1:19" ht="12.75">
      <c r="A224" s="369" t="s">
        <v>1218</v>
      </c>
      <c r="B224" s="369" t="s">
        <v>1649</v>
      </c>
      <c r="C224" s="369" t="s">
        <v>592</v>
      </c>
      <c r="D224" s="372">
        <v>1</v>
      </c>
      <c r="E224" s="372">
        <v>1</v>
      </c>
      <c r="F224" s="372">
        <v>0</v>
      </c>
      <c r="G224" s="372">
        <v>0</v>
      </c>
      <c r="H224" s="372">
        <v>0</v>
      </c>
      <c r="I224" s="372">
        <v>1</v>
      </c>
      <c r="J224" s="372">
        <v>1</v>
      </c>
      <c r="K224" s="372">
        <v>1</v>
      </c>
      <c r="L224" s="372">
        <v>1</v>
      </c>
      <c r="M224" s="372">
        <v>1</v>
      </c>
      <c r="N224" s="372">
        <v>1</v>
      </c>
      <c r="O224" s="372">
        <v>0</v>
      </c>
      <c r="P224" s="372">
        <v>1</v>
      </c>
      <c r="Q224" s="372">
        <v>1</v>
      </c>
      <c r="R224" s="372">
        <v>0</v>
      </c>
      <c r="S224" s="372">
        <v>1</v>
      </c>
    </row>
    <row r="225" spans="1:19" ht="12.75">
      <c r="A225" s="369" t="s">
        <v>46</v>
      </c>
      <c r="B225" s="369" t="s">
        <v>45</v>
      </c>
      <c r="C225" s="369" t="s">
        <v>593</v>
      </c>
      <c r="D225" s="372">
        <v>0</v>
      </c>
      <c r="E225" s="372">
        <v>0</v>
      </c>
      <c r="F225" s="372">
        <v>0</v>
      </c>
      <c r="G225" s="372">
        <v>0</v>
      </c>
      <c r="H225" s="372">
        <v>0</v>
      </c>
      <c r="I225" s="372">
        <v>0</v>
      </c>
      <c r="J225" s="372">
        <v>0</v>
      </c>
      <c r="K225" s="372">
        <v>0</v>
      </c>
      <c r="L225" s="372">
        <v>0</v>
      </c>
      <c r="M225" s="372">
        <v>0</v>
      </c>
      <c r="N225" s="372">
        <v>0</v>
      </c>
      <c r="O225" s="372">
        <v>0</v>
      </c>
      <c r="P225" s="372">
        <v>0</v>
      </c>
      <c r="Q225" s="372">
        <v>0</v>
      </c>
      <c r="R225" s="372">
        <v>0</v>
      </c>
      <c r="S225" s="372">
        <v>0</v>
      </c>
    </row>
    <row r="226" spans="1:19" ht="12.75">
      <c r="A226" s="369" t="s">
        <v>1738</v>
      </c>
      <c r="B226" s="369" t="s">
        <v>1650</v>
      </c>
      <c r="C226" s="369" t="s">
        <v>594</v>
      </c>
      <c r="D226" s="372">
        <v>0</v>
      </c>
      <c r="E226" s="372">
        <v>0</v>
      </c>
      <c r="F226" s="372">
        <v>0</v>
      </c>
      <c r="G226" s="372">
        <v>0</v>
      </c>
      <c r="H226" s="372">
        <v>0</v>
      </c>
      <c r="I226" s="372">
        <v>0</v>
      </c>
      <c r="J226" s="372">
        <v>0</v>
      </c>
      <c r="K226" s="372">
        <v>0</v>
      </c>
      <c r="L226" s="372">
        <v>0</v>
      </c>
      <c r="M226" s="372">
        <v>0</v>
      </c>
      <c r="N226" s="372">
        <v>0</v>
      </c>
      <c r="O226" s="372">
        <v>0</v>
      </c>
      <c r="P226" s="372">
        <v>0</v>
      </c>
      <c r="Q226" s="372">
        <v>0</v>
      </c>
      <c r="R226" s="372">
        <v>0</v>
      </c>
      <c r="S226" s="372">
        <v>0</v>
      </c>
    </row>
    <row r="227" spans="1:19" ht="12.75">
      <c r="A227" s="369" t="s">
        <v>1217</v>
      </c>
      <c r="B227" s="369" t="s">
        <v>49</v>
      </c>
      <c r="C227" s="369" t="s">
        <v>595</v>
      </c>
      <c r="D227" s="372">
        <v>0</v>
      </c>
      <c r="E227" s="372">
        <v>0</v>
      </c>
      <c r="F227" s="372">
        <v>0</v>
      </c>
      <c r="G227" s="372">
        <v>0</v>
      </c>
      <c r="H227" s="372">
        <v>0</v>
      </c>
      <c r="I227" s="372">
        <v>0</v>
      </c>
      <c r="J227" s="372">
        <v>0</v>
      </c>
      <c r="K227" s="372">
        <v>0</v>
      </c>
      <c r="L227" s="372">
        <v>0</v>
      </c>
      <c r="M227" s="372">
        <v>0</v>
      </c>
      <c r="N227" s="372">
        <v>0</v>
      </c>
      <c r="O227" s="372">
        <v>0</v>
      </c>
      <c r="P227" s="372">
        <v>0</v>
      </c>
      <c r="Q227" s="372">
        <v>0</v>
      </c>
      <c r="R227" s="372">
        <v>0</v>
      </c>
      <c r="S227" s="372">
        <v>0</v>
      </c>
    </row>
    <row r="228" spans="1:19" ht="12.75">
      <c r="A228" s="369" t="s">
        <v>1739</v>
      </c>
      <c r="B228" s="369" t="s">
        <v>1740</v>
      </c>
      <c r="C228" s="369" t="s">
        <v>596</v>
      </c>
      <c r="D228" s="372">
        <v>0</v>
      </c>
      <c r="E228" s="372">
        <v>0</v>
      </c>
      <c r="F228" s="372">
        <v>0</v>
      </c>
      <c r="G228" s="372">
        <v>0</v>
      </c>
      <c r="H228" s="372">
        <v>0</v>
      </c>
      <c r="I228" s="372">
        <v>0</v>
      </c>
      <c r="J228" s="372">
        <v>0</v>
      </c>
      <c r="K228" s="372">
        <v>0</v>
      </c>
      <c r="L228" s="372">
        <v>0</v>
      </c>
      <c r="M228" s="372">
        <v>0</v>
      </c>
      <c r="N228" s="372">
        <v>0</v>
      </c>
      <c r="O228" s="372">
        <v>0</v>
      </c>
      <c r="P228" s="372">
        <v>0</v>
      </c>
      <c r="Q228" s="372">
        <v>0</v>
      </c>
      <c r="R228" s="372">
        <v>0</v>
      </c>
      <c r="S228" s="372">
        <v>0</v>
      </c>
    </row>
    <row r="229" spans="1:19" ht="12.75">
      <c r="A229" s="369" t="s">
        <v>2326</v>
      </c>
      <c r="B229" s="369" t="s">
        <v>1651</v>
      </c>
      <c r="C229" s="369" t="s">
        <v>597</v>
      </c>
      <c r="D229" s="372">
        <v>0</v>
      </c>
      <c r="E229" s="372">
        <v>0</v>
      </c>
      <c r="F229" s="372">
        <v>0</v>
      </c>
      <c r="G229" s="372">
        <v>0</v>
      </c>
      <c r="H229" s="372">
        <v>0</v>
      </c>
      <c r="I229" s="372">
        <v>1</v>
      </c>
      <c r="J229" s="372">
        <v>0</v>
      </c>
      <c r="K229" s="372">
        <v>0</v>
      </c>
      <c r="L229" s="372">
        <v>1</v>
      </c>
      <c r="M229" s="372">
        <v>0</v>
      </c>
      <c r="N229" s="372">
        <v>0</v>
      </c>
      <c r="O229" s="372">
        <v>0</v>
      </c>
      <c r="P229" s="372">
        <v>1</v>
      </c>
      <c r="Q229" s="372">
        <v>1</v>
      </c>
      <c r="R229" s="372">
        <v>0</v>
      </c>
      <c r="S229" s="372">
        <v>0</v>
      </c>
    </row>
    <row r="230" spans="1:19" ht="12.75">
      <c r="A230" s="369" t="s">
        <v>1847</v>
      </c>
      <c r="B230" s="369" t="s">
        <v>1846</v>
      </c>
      <c r="C230" s="369" t="s">
        <v>598</v>
      </c>
      <c r="D230" s="372">
        <v>0</v>
      </c>
      <c r="E230" s="372">
        <v>0</v>
      </c>
      <c r="F230" s="372">
        <v>0</v>
      </c>
      <c r="G230" s="372">
        <v>0</v>
      </c>
      <c r="H230" s="372">
        <v>0</v>
      </c>
      <c r="I230" s="372">
        <v>0</v>
      </c>
      <c r="J230" s="372">
        <v>0</v>
      </c>
      <c r="K230" s="372">
        <v>0</v>
      </c>
      <c r="L230" s="372">
        <v>0</v>
      </c>
      <c r="M230" s="372">
        <v>0</v>
      </c>
      <c r="N230" s="372">
        <v>0</v>
      </c>
      <c r="O230" s="372">
        <v>0</v>
      </c>
      <c r="P230" s="372">
        <v>0</v>
      </c>
      <c r="Q230" s="372">
        <v>0</v>
      </c>
      <c r="R230" s="372">
        <v>0</v>
      </c>
      <c r="S230" s="372">
        <v>0</v>
      </c>
    </row>
    <row r="231" spans="1:19" ht="12.75">
      <c r="A231" s="369" t="s">
        <v>15</v>
      </c>
      <c r="B231" s="369" t="s">
        <v>341</v>
      </c>
      <c r="C231" s="369" t="s">
        <v>599</v>
      </c>
      <c r="D231" s="372">
        <v>0</v>
      </c>
      <c r="E231" s="372">
        <v>0</v>
      </c>
      <c r="F231" s="372">
        <v>0</v>
      </c>
      <c r="G231" s="372">
        <v>0</v>
      </c>
      <c r="H231" s="372">
        <v>0</v>
      </c>
      <c r="I231" s="372">
        <v>0</v>
      </c>
      <c r="J231" s="372">
        <v>0</v>
      </c>
      <c r="K231" s="372">
        <v>0</v>
      </c>
      <c r="L231" s="372">
        <v>0</v>
      </c>
      <c r="M231" s="372">
        <v>0</v>
      </c>
      <c r="N231" s="372">
        <v>0</v>
      </c>
      <c r="O231" s="372">
        <v>0</v>
      </c>
      <c r="P231" s="372">
        <v>0</v>
      </c>
      <c r="Q231" s="372">
        <v>0</v>
      </c>
      <c r="R231" s="372">
        <v>0</v>
      </c>
      <c r="S231" s="372">
        <v>0</v>
      </c>
    </row>
    <row r="232" spans="1:19" ht="12.75">
      <c r="A232" s="369" t="s">
        <v>2187</v>
      </c>
      <c r="B232" s="369" t="s">
        <v>1791</v>
      </c>
      <c r="C232" s="369" t="s">
        <v>600</v>
      </c>
      <c r="D232" s="372">
        <v>0</v>
      </c>
      <c r="E232" s="372">
        <v>0</v>
      </c>
      <c r="F232" s="372">
        <v>0</v>
      </c>
      <c r="G232" s="372">
        <v>0</v>
      </c>
      <c r="H232" s="372">
        <v>0</v>
      </c>
      <c r="I232" s="372">
        <v>0</v>
      </c>
      <c r="J232" s="372">
        <v>0</v>
      </c>
      <c r="K232" s="372">
        <v>0</v>
      </c>
      <c r="L232" s="372">
        <v>0</v>
      </c>
      <c r="M232" s="372">
        <v>0</v>
      </c>
      <c r="N232" s="372">
        <v>0</v>
      </c>
      <c r="O232" s="372">
        <v>0</v>
      </c>
      <c r="P232" s="372">
        <v>0</v>
      </c>
      <c r="Q232" s="372">
        <v>0</v>
      </c>
      <c r="R232" s="372">
        <v>0</v>
      </c>
      <c r="S232" s="372">
        <v>0</v>
      </c>
    </row>
    <row r="233" spans="1:19" ht="12.75">
      <c r="A233" s="369" t="s">
        <v>1845</v>
      </c>
      <c r="B233" s="369" t="s">
        <v>1328</v>
      </c>
      <c r="C233" s="369" t="s">
        <v>601</v>
      </c>
      <c r="D233" s="372">
        <v>0</v>
      </c>
      <c r="E233" s="372">
        <v>0</v>
      </c>
      <c r="F233" s="372">
        <v>0</v>
      </c>
      <c r="G233" s="372">
        <v>0</v>
      </c>
      <c r="H233" s="372">
        <v>0</v>
      </c>
      <c r="I233" s="372">
        <v>0</v>
      </c>
      <c r="J233" s="372">
        <v>0</v>
      </c>
      <c r="K233" s="372">
        <v>0</v>
      </c>
      <c r="L233" s="372">
        <v>0</v>
      </c>
      <c r="M233" s="372">
        <v>0</v>
      </c>
      <c r="N233" s="372">
        <v>0</v>
      </c>
      <c r="O233" s="372">
        <v>0</v>
      </c>
      <c r="P233" s="372">
        <v>0</v>
      </c>
      <c r="Q233" s="372">
        <v>0</v>
      </c>
      <c r="R233" s="372">
        <v>0</v>
      </c>
      <c r="S233" s="372">
        <v>0</v>
      </c>
    </row>
    <row r="234" spans="1:19" ht="12.75">
      <c r="A234" s="369" t="s">
        <v>2269</v>
      </c>
      <c r="B234" s="369" t="s">
        <v>1652</v>
      </c>
      <c r="C234" s="369" t="s">
        <v>602</v>
      </c>
      <c r="D234" s="372">
        <v>1</v>
      </c>
      <c r="E234" s="372">
        <v>1</v>
      </c>
      <c r="F234" s="372">
        <v>1</v>
      </c>
      <c r="G234" s="372">
        <v>1</v>
      </c>
      <c r="H234" s="372">
        <v>1</v>
      </c>
      <c r="I234" s="372">
        <v>1</v>
      </c>
      <c r="J234" s="372">
        <v>1</v>
      </c>
      <c r="K234" s="372">
        <v>1</v>
      </c>
      <c r="L234" s="372">
        <v>0</v>
      </c>
      <c r="M234" s="372">
        <v>1</v>
      </c>
      <c r="N234" s="372">
        <v>1</v>
      </c>
      <c r="O234" s="372">
        <v>1</v>
      </c>
      <c r="P234" s="372">
        <v>1</v>
      </c>
      <c r="Q234" s="372">
        <v>1</v>
      </c>
      <c r="R234" s="372">
        <v>1</v>
      </c>
      <c r="S234" s="372">
        <v>1</v>
      </c>
    </row>
    <row r="235" spans="1:19" ht="12.75">
      <c r="A235" s="369" t="s">
        <v>2189</v>
      </c>
      <c r="B235" s="369" t="s">
        <v>2188</v>
      </c>
      <c r="C235" s="369" t="s">
        <v>603</v>
      </c>
      <c r="D235" s="372">
        <v>0</v>
      </c>
      <c r="E235" s="372">
        <v>0</v>
      </c>
      <c r="F235" s="372">
        <v>0</v>
      </c>
      <c r="G235" s="372">
        <v>0</v>
      </c>
      <c r="H235" s="372">
        <v>0</v>
      </c>
      <c r="I235" s="372">
        <v>0</v>
      </c>
      <c r="J235" s="372">
        <v>0</v>
      </c>
      <c r="K235" s="372">
        <v>0</v>
      </c>
      <c r="L235" s="372">
        <v>0</v>
      </c>
      <c r="M235" s="372">
        <v>0</v>
      </c>
      <c r="N235" s="372">
        <v>0</v>
      </c>
      <c r="O235" s="372">
        <v>0</v>
      </c>
      <c r="P235" s="372">
        <v>0</v>
      </c>
      <c r="Q235" s="372">
        <v>0</v>
      </c>
      <c r="R235" s="372">
        <v>0</v>
      </c>
      <c r="S235" s="372">
        <v>0</v>
      </c>
    </row>
    <row r="236" spans="1:19" ht="12.75">
      <c r="A236" s="369" t="s">
        <v>2349</v>
      </c>
      <c r="B236" s="369" t="s">
        <v>1653</v>
      </c>
      <c r="C236" s="369" t="s">
        <v>604</v>
      </c>
      <c r="D236" s="372">
        <v>0</v>
      </c>
      <c r="E236" s="372">
        <v>1</v>
      </c>
      <c r="F236" s="372">
        <v>0</v>
      </c>
      <c r="G236" s="372">
        <v>0</v>
      </c>
      <c r="H236" s="372">
        <v>0</v>
      </c>
      <c r="I236" s="372">
        <v>0</v>
      </c>
      <c r="J236" s="372">
        <v>0</v>
      </c>
      <c r="K236" s="372">
        <v>0</v>
      </c>
      <c r="L236" s="372">
        <v>1</v>
      </c>
      <c r="M236" s="372">
        <v>0</v>
      </c>
      <c r="N236" s="372">
        <v>0</v>
      </c>
      <c r="O236" s="372">
        <v>0</v>
      </c>
      <c r="P236" s="372">
        <v>1</v>
      </c>
      <c r="Q236" s="372">
        <v>0</v>
      </c>
      <c r="R236" s="372">
        <v>0</v>
      </c>
      <c r="S236" s="372">
        <v>0</v>
      </c>
    </row>
    <row r="237" spans="1:19" ht="12.75">
      <c r="A237" s="369" t="s">
        <v>2191</v>
      </c>
      <c r="B237" s="369" t="s">
        <v>2190</v>
      </c>
      <c r="C237" s="369" t="s">
        <v>605</v>
      </c>
      <c r="D237" s="372">
        <v>0</v>
      </c>
      <c r="E237" s="372">
        <v>0</v>
      </c>
      <c r="F237" s="372">
        <v>0</v>
      </c>
      <c r="G237" s="372">
        <v>0</v>
      </c>
      <c r="H237" s="372">
        <v>0</v>
      </c>
      <c r="I237" s="372">
        <v>0</v>
      </c>
      <c r="J237" s="372">
        <v>0</v>
      </c>
      <c r="K237" s="372">
        <v>0</v>
      </c>
      <c r="L237" s="372">
        <v>0</v>
      </c>
      <c r="M237" s="372">
        <v>0</v>
      </c>
      <c r="N237" s="372">
        <v>0</v>
      </c>
      <c r="O237" s="372">
        <v>0</v>
      </c>
      <c r="P237" s="372">
        <v>0</v>
      </c>
      <c r="Q237" s="372">
        <v>0</v>
      </c>
      <c r="R237" s="372">
        <v>0</v>
      </c>
      <c r="S237" s="372">
        <v>0</v>
      </c>
    </row>
    <row r="238" spans="1:19" ht="12.75">
      <c r="A238" s="369" t="s">
        <v>1454</v>
      </c>
      <c r="B238" s="369" t="s">
        <v>2192</v>
      </c>
      <c r="C238" s="369" t="s">
        <v>606</v>
      </c>
      <c r="D238" s="372">
        <v>0</v>
      </c>
      <c r="E238" s="372">
        <v>0</v>
      </c>
      <c r="F238" s="372">
        <v>0</v>
      </c>
      <c r="G238" s="372">
        <v>0</v>
      </c>
      <c r="H238" s="372">
        <v>0</v>
      </c>
      <c r="I238" s="372">
        <v>0</v>
      </c>
      <c r="J238" s="372">
        <v>0</v>
      </c>
      <c r="K238" s="372">
        <v>0</v>
      </c>
      <c r="L238" s="372">
        <v>0</v>
      </c>
      <c r="M238" s="372">
        <v>0</v>
      </c>
      <c r="N238" s="372">
        <v>0</v>
      </c>
      <c r="O238" s="372">
        <v>0</v>
      </c>
      <c r="P238" s="372">
        <v>0</v>
      </c>
      <c r="Q238" s="372">
        <v>0</v>
      </c>
      <c r="R238" s="372">
        <v>0</v>
      </c>
      <c r="S238" s="372">
        <v>0</v>
      </c>
    </row>
    <row r="239" spans="1:19" ht="12.75">
      <c r="A239" s="369" t="s">
        <v>2350</v>
      </c>
      <c r="B239" s="369" t="s">
        <v>2029</v>
      </c>
      <c r="C239" s="369" t="s">
        <v>607</v>
      </c>
      <c r="D239" s="372">
        <v>0</v>
      </c>
      <c r="E239" s="372">
        <v>1</v>
      </c>
      <c r="F239" s="372">
        <v>0</v>
      </c>
      <c r="G239" s="372">
        <v>1</v>
      </c>
      <c r="H239" s="372">
        <v>1</v>
      </c>
      <c r="I239" s="372">
        <v>0</v>
      </c>
      <c r="J239" s="372">
        <v>1</v>
      </c>
      <c r="K239" s="372">
        <v>0</v>
      </c>
      <c r="L239" s="372">
        <v>1</v>
      </c>
      <c r="M239" s="372">
        <v>1</v>
      </c>
      <c r="N239" s="372">
        <v>0</v>
      </c>
      <c r="O239" s="372">
        <v>1</v>
      </c>
      <c r="P239" s="372">
        <v>1</v>
      </c>
      <c r="Q239" s="372">
        <v>0</v>
      </c>
      <c r="R239" s="372">
        <v>0</v>
      </c>
      <c r="S239" s="372">
        <v>0</v>
      </c>
    </row>
    <row r="240" spans="1:19" ht="12.75">
      <c r="A240" s="369" t="s">
        <v>1689</v>
      </c>
      <c r="B240" s="369" t="s">
        <v>2030</v>
      </c>
      <c r="C240" s="369" t="s">
        <v>608</v>
      </c>
      <c r="D240" s="372">
        <v>0</v>
      </c>
      <c r="E240" s="372">
        <v>0</v>
      </c>
      <c r="F240" s="372">
        <v>0</v>
      </c>
      <c r="G240" s="372">
        <v>0</v>
      </c>
      <c r="H240" s="372">
        <v>0</v>
      </c>
      <c r="I240" s="372">
        <v>0</v>
      </c>
      <c r="J240" s="372">
        <v>0</v>
      </c>
      <c r="K240" s="372">
        <v>0</v>
      </c>
      <c r="L240" s="372">
        <v>0</v>
      </c>
      <c r="M240" s="372">
        <v>1</v>
      </c>
      <c r="N240" s="372">
        <v>1</v>
      </c>
      <c r="O240" s="372">
        <v>0</v>
      </c>
      <c r="P240" s="372">
        <v>0</v>
      </c>
      <c r="Q240" s="372">
        <v>1</v>
      </c>
      <c r="R240" s="372">
        <v>1</v>
      </c>
      <c r="S240" s="372">
        <v>1</v>
      </c>
    </row>
    <row r="241" spans="1:19" ht="12.75">
      <c r="A241" s="369" t="s">
        <v>1715</v>
      </c>
      <c r="B241" s="369" t="s">
        <v>1415</v>
      </c>
      <c r="C241" s="369" t="s">
        <v>609</v>
      </c>
      <c r="D241" s="372">
        <v>0</v>
      </c>
      <c r="E241" s="372">
        <v>0</v>
      </c>
      <c r="F241" s="372">
        <v>0</v>
      </c>
      <c r="G241" s="372">
        <v>0</v>
      </c>
      <c r="H241" s="372">
        <v>0</v>
      </c>
      <c r="I241" s="372">
        <v>0</v>
      </c>
      <c r="J241" s="372">
        <v>0</v>
      </c>
      <c r="K241" s="372">
        <v>0</v>
      </c>
      <c r="L241" s="372">
        <v>0</v>
      </c>
      <c r="M241" s="372">
        <v>0</v>
      </c>
      <c r="N241" s="372">
        <v>0</v>
      </c>
      <c r="O241" s="372">
        <v>0</v>
      </c>
      <c r="P241" s="372">
        <v>0</v>
      </c>
      <c r="Q241" s="372">
        <v>0</v>
      </c>
      <c r="R241" s="372">
        <v>0</v>
      </c>
      <c r="S241" s="372">
        <v>0</v>
      </c>
    </row>
    <row r="242" spans="1:19" ht="12.75">
      <c r="A242" s="369" t="s">
        <v>1716</v>
      </c>
      <c r="B242" s="369" t="s">
        <v>1416</v>
      </c>
      <c r="C242" s="369" t="s">
        <v>610</v>
      </c>
      <c r="D242" s="372">
        <v>0</v>
      </c>
      <c r="E242" s="372">
        <v>0</v>
      </c>
      <c r="F242" s="372">
        <v>0</v>
      </c>
      <c r="G242" s="372">
        <v>0</v>
      </c>
      <c r="H242" s="372">
        <v>0</v>
      </c>
      <c r="I242" s="372">
        <v>0</v>
      </c>
      <c r="J242" s="372">
        <v>0</v>
      </c>
      <c r="K242" s="372">
        <v>0</v>
      </c>
      <c r="L242" s="372">
        <v>0</v>
      </c>
      <c r="M242" s="372">
        <v>0</v>
      </c>
      <c r="N242" s="372">
        <v>0</v>
      </c>
      <c r="O242" s="372">
        <v>0</v>
      </c>
      <c r="P242" s="372">
        <v>0</v>
      </c>
      <c r="Q242" s="372">
        <v>0</v>
      </c>
      <c r="R242" s="372">
        <v>0</v>
      </c>
      <c r="S242" s="372">
        <v>0</v>
      </c>
    </row>
    <row r="243" spans="1:19" ht="12.75">
      <c r="A243" s="369" t="s">
        <v>1456</v>
      </c>
      <c r="B243" s="369" t="s">
        <v>1455</v>
      </c>
      <c r="C243" s="369" t="s">
        <v>611</v>
      </c>
      <c r="D243" s="372">
        <v>0</v>
      </c>
      <c r="E243" s="372">
        <v>0</v>
      </c>
      <c r="F243" s="372">
        <v>0</v>
      </c>
      <c r="G243" s="372">
        <v>0</v>
      </c>
      <c r="H243" s="372">
        <v>0</v>
      </c>
      <c r="I243" s="372">
        <v>0</v>
      </c>
      <c r="J243" s="372">
        <v>0</v>
      </c>
      <c r="K243" s="372">
        <v>0</v>
      </c>
      <c r="L243" s="372">
        <v>0</v>
      </c>
      <c r="M243" s="372">
        <v>0</v>
      </c>
      <c r="N243" s="372">
        <v>0</v>
      </c>
      <c r="O243" s="372">
        <v>0</v>
      </c>
      <c r="P243" s="372">
        <v>0</v>
      </c>
      <c r="Q243" s="372">
        <v>0</v>
      </c>
      <c r="R243" s="372">
        <v>0</v>
      </c>
      <c r="S243" s="372">
        <v>0</v>
      </c>
    </row>
    <row r="244" spans="1:19" ht="12.75">
      <c r="A244" s="369" t="s">
        <v>1458</v>
      </c>
      <c r="B244" s="369" t="s">
        <v>1457</v>
      </c>
      <c r="C244" s="369" t="s">
        <v>612</v>
      </c>
      <c r="D244" s="372">
        <v>0</v>
      </c>
      <c r="E244" s="372">
        <v>0</v>
      </c>
      <c r="F244" s="372">
        <v>0</v>
      </c>
      <c r="G244" s="372">
        <v>0</v>
      </c>
      <c r="H244" s="372">
        <v>0</v>
      </c>
      <c r="I244" s="372">
        <v>0</v>
      </c>
      <c r="J244" s="372">
        <v>0</v>
      </c>
      <c r="K244" s="372">
        <v>0</v>
      </c>
      <c r="L244" s="372">
        <v>0</v>
      </c>
      <c r="M244" s="372">
        <v>0</v>
      </c>
      <c r="N244" s="372">
        <v>0</v>
      </c>
      <c r="O244" s="372">
        <v>0</v>
      </c>
      <c r="P244" s="372">
        <v>0</v>
      </c>
      <c r="Q244" s="372">
        <v>0</v>
      </c>
      <c r="R244" s="372">
        <v>0</v>
      </c>
      <c r="S244" s="372">
        <v>0</v>
      </c>
    </row>
    <row r="245" spans="1:19" ht="12.75">
      <c r="A245" s="369" t="s">
        <v>1717</v>
      </c>
      <c r="B245" s="369" t="s">
        <v>1368</v>
      </c>
      <c r="C245" s="369" t="s">
        <v>613</v>
      </c>
      <c r="D245" s="372">
        <v>0</v>
      </c>
      <c r="E245" s="372">
        <v>0</v>
      </c>
      <c r="F245" s="372">
        <v>0</v>
      </c>
      <c r="G245" s="372">
        <v>0</v>
      </c>
      <c r="H245" s="372">
        <v>0</v>
      </c>
      <c r="I245" s="372">
        <v>0</v>
      </c>
      <c r="J245" s="372">
        <v>0</v>
      </c>
      <c r="K245" s="372">
        <v>0</v>
      </c>
      <c r="L245" s="372">
        <v>0</v>
      </c>
      <c r="M245" s="372">
        <v>0</v>
      </c>
      <c r="N245" s="372">
        <v>0</v>
      </c>
      <c r="O245" s="372">
        <v>0</v>
      </c>
      <c r="P245" s="372">
        <v>0</v>
      </c>
      <c r="Q245" s="372">
        <v>0</v>
      </c>
      <c r="R245" s="372">
        <v>0</v>
      </c>
      <c r="S245" s="372">
        <v>0</v>
      </c>
    </row>
    <row r="246" spans="1:19" ht="12.75">
      <c r="A246" s="369" t="s">
        <v>1718</v>
      </c>
      <c r="B246" s="369" t="s">
        <v>1633</v>
      </c>
      <c r="C246" s="369" t="s">
        <v>614</v>
      </c>
      <c r="D246" s="372">
        <v>0</v>
      </c>
      <c r="E246" s="372">
        <v>0</v>
      </c>
      <c r="F246" s="372">
        <v>0</v>
      </c>
      <c r="G246" s="372">
        <v>0</v>
      </c>
      <c r="H246" s="372">
        <v>0</v>
      </c>
      <c r="I246" s="372">
        <v>0</v>
      </c>
      <c r="J246" s="372">
        <v>0</v>
      </c>
      <c r="K246" s="372">
        <v>0</v>
      </c>
      <c r="L246" s="372">
        <v>0</v>
      </c>
      <c r="M246" s="372">
        <v>0</v>
      </c>
      <c r="N246" s="372">
        <v>0</v>
      </c>
      <c r="O246" s="372">
        <v>0</v>
      </c>
      <c r="P246" s="372">
        <v>0</v>
      </c>
      <c r="Q246" s="372">
        <v>1</v>
      </c>
      <c r="R246" s="372">
        <v>0</v>
      </c>
      <c r="S246" s="372">
        <v>0</v>
      </c>
    </row>
    <row r="247" spans="1:19" ht="12.75">
      <c r="A247" s="369" t="s">
        <v>1471</v>
      </c>
      <c r="B247" s="369" t="s">
        <v>1870</v>
      </c>
      <c r="C247" s="369" t="s">
        <v>615</v>
      </c>
      <c r="D247" s="372">
        <v>0</v>
      </c>
      <c r="E247" s="372">
        <v>0</v>
      </c>
      <c r="F247" s="372">
        <v>0</v>
      </c>
      <c r="G247" s="372">
        <v>0</v>
      </c>
      <c r="H247" s="372">
        <v>0</v>
      </c>
      <c r="I247" s="372">
        <v>0</v>
      </c>
      <c r="J247" s="372">
        <v>0</v>
      </c>
      <c r="K247" s="372">
        <v>0</v>
      </c>
      <c r="L247" s="372">
        <v>0</v>
      </c>
      <c r="M247" s="372">
        <v>0</v>
      </c>
      <c r="N247" s="372">
        <v>0</v>
      </c>
      <c r="O247" s="372">
        <v>0</v>
      </c>
      <c r="P247" s="372">
        <v>0</v>
      </c>
      <c r="Q247" s="372">
        <v>0</v>
      </c>
      <c r="R247" s="372">
        <v>0</v>
      </c>
      <c r="S247" s="372">
        <v>0</v>
      </c>
    </row>
    <row r="248" spans="1:19" ht="12.75">
      <c r="A248" s="369" t="s">
        <v>1472</v>
      </c>
      <c r="B248" s="369" t="s">
        <v>1871</v>
      </c>
      <c r="C248" s="369"/>
      <c r="D248" s="372">
        <v>0</v>
      </c>
      <c r="E248" s="372">
        <v>0</v>
      </c>
      <c r="F248" s="372">
        <v>0</v>
      </c>
      <c r="G248" s="372">
        <v>0</v>
      </c>
      <c r="H248" s="372">
        <v>0</v>
      </c>
      <c r="I248" s="372">
        <v>0</v>
      </c>
      <c r="J248" s="372">
        <v>0</v>
      </c>
      <c r="K248" s="372">
        <v>0</v>
      </c>
      <c r="L248" s="372">
        <v>1</v>
      </c>
      <c r="M248" s="372">
        <v>0</v>
      </c>
      <c r="N248" s="372">
        <v>0</v>
      </c>
      <c r="O248" s="372">
        <v>0</v>
      </c>
      <c r="P248" s="372">
        <v>0</v>
      </c>
      <c r="Q248" s="372">
        <v>0</v>
      </c>
      <c r="R248" s="372">
        <v>0</v>
      </c>
      <c r="S248" s="372">
        <v>0</v>
      </c>
    </row>
    <row r="249" spans="1:19" ht="12.75">
      <c r="A249" s="369" t="s">
        <v>1460</v>
      </c>
      <c r="B249" s="369" t="s">
        <v>1459</v>
      </c>
      <c r="C249" s="369" t="s">
        <v>616</v>
      </c>
      <c r="D249" s="372">
        <v>0</v>
      </c>
      <c r="E249" s="372">
        <v>0</v>
      </c>
      <c r="F249" s="372">
        <v>0</v>
      </c>
      <c r="G249" s="372">
        <v>0</v>
      </c>
      <c r="H249" s="372">
        <v>0</v>
      </c>
      <c r="I249" s="372">
        <v>0</v>
      </c>
      <c r="J249" s="372">
        <v>0</v>
      </c>
      <c r="K249" s="372">
        <v>0</v>
      </c>
      <c r="L249" s="372">
        <v>0</v>
      </c>
      <c r="M249" s="372">
        <v>0</v>
      </c>
      <c r="N249" s="372">
        <v>0</v>
      </c>
      <c r="O249" s="372">
        <v>0</v>
      </c>
      <c r="P249" s="372">
        <v>0</v>
      </c>
      <c r="Q249" s="372">
        <v>0</v>
      </c>
      <c r="R249" s="372">
        <v>0</v>
      </c>
      <c r="S249" s="372">
        <v>0</v>
      </c>
    </row>
    <row r="250" spans="1:19" ht="12.75">
      <c r="A250" s="369" t="s">
        <v>1473</v>
      </c>
      <c r="B250" s="369" t="s">
        <v>1872</v>
      </c>
      <c r="C250" s="369" t="s">
        <v>617</v>
      </c>
      <c r="D250" s="372">
        <v>1</v>
      </c>
      <c r="E250" s="372">
        <v>1</v>
      </c>
      <c r="F250" s="372">
        <v>0</v>
      </c>
      <c r="G250" s="372">
        <v>0</v>
      </c>
      <c r="H250" s="372">
        <v>0</v>
      </c>
      <c r="I250" s="372">
        <v>1</v>
      </c>
      <c r="J250" s="372">
        <v>1</v>
      </c>
      <c r="K250" s="372">
        <v>1</v>
      </c>
      <c r="L250" s="372">
        <v>1</v>
      </c>
      <c r="M250" s="372">
        <v>1</v>
      </c>
      <c r="N250" s="372">
        <v>1</v>
      </c>
      <c r="O250" s="372">
        <v>0</v>
      </c>
      <c r="P250" s="372">
        <v>1</v>
      </c>
      <c r="Q250" s="372">
        <v>1</v>
      </c>
      <c r="R250" s="372">
        <v>1</v>
      </c>
      <c r="S250" s="372">
        <v>0</v>
      </c>
    </row>
    <row r="251" spans="1:19" ht="12.75">
      <c r="A251" s="369" t="s">
        <v>2099</v>
      </c>
      <c r="B251" s="369" t="s">
        <v>1506</v>
      </c>
      <c r="C251" s="369"/>
      <c r="D251" s="372">
        <v>0</v>
      </c>
      <c r="E251" s="372">
        <v>0</v>
      </c>
      <c r="F251" s="372">
        <v>0</v>
      </c>
      <c r="G251" s="372">
        <v>0</v>
      </c>
      <c r="H251" s="372">
        <v>0</v>
      </c>
      <c r="I251" s="372">
        <v>0</v>
      </c>
      <c r="J251" s="372">
        <v>0</v>
      </c>
      <c r="K251" s="372">
        <v>0</v>
      </c>
      <c r="L251" s="372">
        <v>0</v>
      </c>
      <c r="M251" s="372">
        <v>0</v>
      </c>
      <c r="N251" s="372">
        <v>0</v>
      </c>
      <c r="O251" s="372">
        <v>0</v>
      </c>
      <c r="P251" s="372">
        <v>0</v>
      </c>
      <c r="Q251" s="372">
        <v>0</v>
      </c>
      <c r="R251" s="372">
        <v>0</v>
      </c>
      <c r="S251" s="372">
        <v>0</v>
      </c>
    </row>
    <row r="252" spans="1:19" ht="12.75">
      <c r="A252" s="369" t="s">
        <v>1778</v>
      </c>
      <c r="B252" s="369" t="s">
        <v>2087</v>
      </c>
      <c r="C252" s="369" t="s">
        <v>618</v>
      </c>
      <c r="D252" s="372">
        <v>0</v>
      </c>
      <c r="E252" s="372">
        <v>0</v>
      </c>
      <c r="F252" s="372">
        <v>0</v>
      </c>
      <c r="G252" s="372">
        <v>0</v>
      </c>
      <c r="H252" s="372">
        <v>0</v>
      </c>
      <c r="I252" s="372">
        <v>0</v>
      </c>
      <c r="J252" s="372">
        <v>0</v>
      </c>
      <c r="K252" s="372">
        <v>0</v>
      </c>
      <c r="L252" s="372">
        <v>0</v>
      </c>
      <c r="M252" s="372">
        <v>0</v>
      </c>
      <c r="N252" s="372">
        <v>0</v>
      </c>
      <c r="O252" s="372">
        <v>0</v>
      </c>
      <c r="P252" s="372">
        <v>0</v>
      </c>
      <c r="Q252" s="372">
        <v>0</v>
      </c>
      <c r="R252" s="372">
        <v>0</v>
      </c>
      <c r="S252" s="372">
        <v>0</v>
      </c>
    </row>
    <row r="253" spans="1:19" ht="12.75">
      <c r="A253" s="369" t="s">
        <v>17</v>
      </c>
      <c r="B253" s="369" t="s">
        <v>16</v>
      </c>
      <c r="C253" s="369" t="s">
        <v>619</v>
      </c>
      <c r="D253" s="372">
        <v>0</v>
      </c>
      <c r="E253" s="372">
        <v>0</v>
      </c>
      <c r="F253" s="372">
        <v>0</v>
      </c>
      <c r="G253" s="372">
        <v>0</v>
      </c>
      <c r="H253" s="372">
        <v>0</v>
      </c>
      <c r="I253" s="372">
        <v>0</v>
      </c>
      <c r="J253" s="372">
        <v>0</v>
      </c>
      <c r="K253" s="372">
        <v>0</v>
      </c>
      <c r="L253" s="372">
        <v>0</v>
      </c>
      <c r="M253" s="372">
        <v>0</v>
      </c>
      <c r="N253" s="372">
        <v>0</v>
      </c>
      <c r="O253" s="372">
        <v>0</v>
      </c>
      <c r="P253" s="372">
        <v>0</v>
      </c>
      <c r="Q253" s="372">
        <v>0</v>
      </c>
      <c r="R253" s="372">
        <v>0</v>
      </c>
      <c r="S253" s="372">
        <v>0</v>
      </c>
    </row>
    <row r="254" spans="1:19" ht="12.75">
      <c r="A254" s="369" t="s">
        <v>1474</v>
      </c>
      <c r="B254" s="369" t="s">
        <v>1369</v>
      </c>
      <c r="C254" s="369" t="s">
        <v>620</v>
      </c>
      <c r="D254" s="372">
        <v>0</v>
      </c>
      <c r="E254" s="372">
        <v>0</v>
      </c>
      <c r="F254" s="372">
        <v>0</v>
      </c>
      <c r="G254" s="372">
        <v>0</v>
      </c>
      <c r="H254" s="372">
        <v>0</v>
      </c>
      <c r="I254" s="372">
        <v>0</v>
      </c>
      <c r="J254" s="372">
        <v>0</v>
      </c>
      <c r="K254" s="372">
        <v>0</v>
      </c>
      <c r="L254" s="372">
        <v>0</v>
      </c>
      <c r="M254" s="372">
        <v>0</v>
      </c>
      <c r="N254" s="372">
        <v>0</v>
      </c>
      <c r="O254" s="372">
        <v>0</v>
      </c>
      <c r="P254" s="372">
        <v>0</v>
      </c>
      <c r="Q254" s="372">
        <v>0</v>
      </c>
      <c r="R254" s="372">
        <v>0</v>
      </c>
      <c r="S254" s="372">
        <v>0</v>
      </c>
    </row>
    <row r="255" spans="1:19" ht="12.75">
      <c r="A255" s="369" t="s">
        <v>1475</v>
      </c>
      <c r="B255" s="369" t="s">
        <v>19</v>
      </c>
      <c r="C255" s="369" t="s">
        <v>621</v>
      </c>
      <c r="D255" s="372">
        <v>0</v>
      </c>
      <c r="E255" s="372">
        <v>1</v>
      </c>
      <c r="F255" s="372">
        <v>1</v>
      </c>
      <c r="G255" s="372">
        <v>1</v>
      </c>
      <c r="H255" s="372">
        <v>0</v>
      </c>
      <c r="I255" s="372">
        <v>0</v>
      </c>
      <c r="J255" s="372">
        <v>0</v>
      </c>
      <c r="K255" s="372">
        <v>0</v>
      </c>
      <c r="L255" s="372">
        <v>0</v>
      </c>
      <c r="M255" s="372">
        <v>1</v>
      </c>
      <c r="N255" s="372">
        <v>0</v>
      </c>
      <c r="O255" s="372">
        <v>0</v>
      </c>
      <c r="P255" s="372">
        <v>0</v>
      </c>
      <c r="Q255" s="372">
        <v>1</v>
      </c>
      <c r="R255" s="372">
        <v>0</v>
      </c>
      <c r="S255" s="372">
        <v>1</v>
      </c>
    </row>
    <row r="256" spans="1:19" ht="12.75">
      <c r="A256" s="369" t="s">
        <v>1780</v>
      </c>
      <c r="B256" s="369" t="s">
        <v>1779</v>
      </c>
      <c r="C256" s="369" t="s">
        <v>622</v>
      </c>
      <c r="D256" s="372">
        <v>0</v>
      </c>
      <c r="E256" s="372">
        <v>0</v>
      </c>
      <c r="F256" s="372">
        <v>0</v>
      </c>
      <c r="G256" s="372">
        <v>0</v>
      </c>
      <c r="H256" s="372">
        <v>0</v>
      </c>
      <c r="I256" s="372">
        <v>0</v>
      </c>
      <c r="J256" s="372">
        <v>0</v>
      </c>
      <c r="K256" s="372">
        <v>0</v>
      </c>
      <c r="L256" s="372">
        <v>0</v>
      </c>
      <c r="M256" s="372">
        <v>0</v>
      </c>
      <c r="N256" s="372">
        <v>0</v>
      </c>
      <c r="O256" s="372">
        <v>0</v>
      </c>
      <c r="P256" s="372">
        <v>0</v>
      </c>
      <c r="Q256" s="372">
        <v>0</v>
      </c>
      <c r="R256" s="372">
        <v>0</v>
      </c>
      <c r="S256" s="372">
        <v>0</v>
      </c>
    </row>
    <row r="257" spans="1:19" ht="12.75">
      <c r="A257" s="369" t="s">
        <v>2079</v>
      </c>
      <c r="B257" s="369" t="s">
        <v>1370</v>
      </c>
      <c r="C257" s="369" t="s">
        <v>623</v>
      </c>
      <c r="D257" s="372">
        <v>0</v>
      </c>
      <c r="E257" s="372">
        <v>0</v>
      </c>
      <c r="F257" s="372">
        <v>0</v>
      </c>
      <c r="G257" s="372">
        <v>0</v>
      </c>
      <c r="H257" s="372">
        <v>0</v>
      </c>
      <c r="I257" s="372">
        <v>0</v>
      </c>
      <c r="J257" s="372">
        <v>0</v>
      </c>
      <c r="K257" s="372">
        <v>0</v>
      </c>
      <c r="L257" s="372">
        <v>0</v>
      </c>
      <c r="M257" s="372">
        <v>0</v>
      </c>
      <c r="N257" s="372">
        <v>0</v>
      </c>
      <c r="O257" s="372">
        <v>0</v>
      </c>
      <c r="P257" s="372">
        <v>0</v>
      </c>
      <c r="Q257" s="372">
        <v>0</v>
      </c>
      <c r="R257" s="372">
        <v>0</v>
      </c>
      <c r="S257" s="372">
        <v>0</v>
      </c>
    </row>
    <row r="258" spans="1:19" ht="12.75">
      <c r="A258" s="369" t="s">
        <v>2080</v>
      </c>
      <c r="B258" s="369" t="s">
        <v>1614</v>
      </c>
      <c r="C258" s="369" t="s">
        <v>624</v>
      </c>
      <c r="D258" s="372">
        <v>0</v>
      </c>
      <c r="E258" s="372">
        <v>0</v>
      </c>
      <c r="F258" s="372">
        <v>0</v>
      </c>
      <c r="G258" s="372">
        <v>0</v>
      </c>
      <c r="H258" s="372">
        <v>0</v>
      </c>
      <c r="I258" s="372">
        <v>0</v>
      </c>
      <c r="J258" s="372">
        <v>0</v>
      </c>
      <c r="K258" s="372">
        <v>0</v>
      </c>
      <c r="L258" s="372">
        <v>0</v>
      </c>
      <c r="M258" s="372">
        <v>0</v>
      </c>
      <c r="N258" s="372">
        <v>0</v>
      </c>
      <c r="O258" s="372">
        <v>0</v>
      </c>
      <c r="P258" s="372">
        <v>0</v>
      </c>
      <c r="Q258" s="372">
        <v>0</v>
      </c>
      <c r="R258" s="372">
        <v>0</v>
      </c>
      <c r="S258" s="372">
        <v>0</v>
      </c>
    </row>
    <row r="259" spans="1:19" ht="12.75">
      <c r="A259" s="369" t="s">
        <v>1782</v>
      </c>
      <c r="B259" s="369" t="s">
        <v>1781</v>
      </c>
      <c r="C259" s="369" t="s">
        <v>625</v>
      </c>
      <c r="D259" s="372">
        <v>0</v>
      </c>
      <c r="E259" s="372">
        <v>0</v>
      </c>
      <c r="F259" s="372">
        <v>0</v>
      </c>
      <c r="G259" s="372">
        <v>0</v>
      </c>
      <c r="H259" s="372">
        <v>0</v>
      </c>
      <c r="I259" s="372">
        <v>0</v>
      </c>
      <c r="J259" s="372">
        <v>0</v>
      </c>
      <c r="K259" s="372">
        <v>0</v>
      </c>
      <c r="L259" s="372">
        <v>0</v>
      </c>
      <c r="M259" s="372">
        <v>0</v>
      </c>
      <c r="N259" s="372">
        <v>0</v>
      </c>
      <c r="O259" s="372">
        <v>0</v>
      </c>
      <c r="P259" s="372">
        <v>0</v>
      </c>
      <c r="Q259" s="372">
        <v>0</v>
      </c>
      <c r="R259" s="372">
        <v>0</v>
      </c>
      <c r="S259" s="372">
        <v>0</v>
      </c>
    </row>
    <row r="260" spans="1:19" ht="12.75">
      <c r="A260" s="369" t="s">
        <v>256</v>
      </c>
      <c r="B260" s="369" t="s">
        <v>1783</v>
      </c>
      <c r="C260" s="369" t="s">
        <v>626</v>
      </c>
      <c r="D260" s="372">
        <v>0</v>
      </c>
      <c r="E260" s="372">
        <v>0</v>
      </c>
      <c r="F260" s="372">
        <v>0</v>
      </c>
      <c r="G260" s="372">
        <v>0</v>
      </c>
      <c r="H260" s="372">
        <v>0</v>
      </c>
      <c r="I260" s="372">
        <v>0</v>
      </c>
      <c r="J260" s="372">
        <v>0</v>
      </c>
      <c r="K260" s="372">
        <v>0</v>
      </c>
      <c r="L260" s="372">
        <v>0</v>
      </c>
      <c r="M260" s="372">
        <v>0</v>
      </c>
      <c r="N260" s="372">
        <v>0</v>
      </c>
      <c r="O260" s="372">
        <v>0</v>
      </c>
      <c r="P260" s="372">
        <v>0</v>
      </c>
      <c r="Q260" s="372">
        <v>0</v>
      </c>
      <c r="R260" s="372">
        <v>0</v>
      </c>
      <c r="S260" s="372">
        <v>0</v>
      </c>
    </row>
    <row r="261" spans="1:19" ht="12.75">
      <c r="A261" s="369" t="s">
        <v>1520</v>
      </c>
      <c r="B261" s="369" t="s">
        <v>1519</v>
      </c>
      <c r="C261" s="369" t="s">
        <v>627</v>
      </c>
      <c r="D261" s="372">
        <v>0</v>
      </c>
      <c r="E261" s="372">
        <v>0</v>
      </c>
      <c r="F261" s="372">
        <v>0</v>
      </c>
      <c r="G261" s="372">
        <v>0</v>
      </c>
      <c r="H261" s="372">
        <v>0</v>
      </c>
      <c r="I261" s="372">
        <v>0</v>
      </c>
      <c r="J261" s="372">
        <v>0</v>
      </c>
      <c r="K261" s="372">
        <v>0</v>
      </c>
      <c r="L261" s="372">
        <v>0</v>
      </c>
      <c r="M261" s="372">
        <v>0</v>
      </c>
      <c r="N261" s="372">
        <v>0</v>
      </c>
      <c r="O261" s="372">
        <v>0</v>
      </c>
      <c r="P261" s="372">
        <v>0</v>
      </c>
      <c r="Q261" s="372">
        <v>0</v>
      </c>
      <c r="R261" s="372">
        <v>0</v>
      </c>
      <c r="S261" s="372">
        <v>0</v>
      </c>
    </row>
    <row r="262" spans="1:19" ht="12.75">
      <c r="A262" s="369" t="s">
        <v>142</v>
      </c>
      <c r="B262" s="369" t="s">
        <v>257</v>
      </c>
      <c r="C262" s="369" t="s">
        <v>628</v>
      </c>
      <c r="D262" s="372">
        <v>0</v>
      </c>
      <c r="E262" s="372">
        <v>0</v>
      </c>
      <c r="F262" s="372">
        <v>0</v>
      </c>
      <c r="G262" s="372">
        <v>0</v>
      </c>
      <c r="H262" s="372">
        <v>0</v>
      </c>
      <c r="I262" s="372">
        <v>0</v>
      </c>
      <c r="J262" s="372">
        <v>0</v>
      </c>
      <c r="K262" s="372">
        <v>0</v>
      </c>
      <c r="L262" s="372">
        <v>0</v>
      </c>
      <c r="M262" s="372">
        <v>0</v>
      </c>
      <c r="N262" s="372">
        <v>0</v>
      </c>
      <c r="O262" s="372">
        <v>0</v>
      </c>
      <c r="P262" s="372">
        <v>0</v>
      </c>
      <c r="Q262" s="372">
        <v>0</v>
      </c>
      <c r="R262" s="372">
        <v>0</v>
      </c>
      <c r="S262" s="372">
        <v>0</v>
      </c>
    </row>
    <row r="263" spans="1:19" ht="12.75">
      <c r="A263" s="369" t="s">
        <v>2081</v>
      </c>
      <c r="B263" s="369" t="s">
        <v>1615</v>
      </c>
      <c r="C263" s="369" t="s">
        <v>629</v>
      </c>
      <c r="D263" s="372">
        <v>1</v>
      </c>
      <c r="E263" s="372">
        <v>1</v>
      </c>
      <c r="F263" s="372">
        <v>1</v>
      </c>
      <c r="G263" s="372">
        <v>1</v>
      </c>
      <c r="H263" s="372">
        <v>1</v>
      </c>
      <c r="I263" s="372">
        <v>1</v>
      </c>
      <c r="J263" s="372">
        <v>1</v>
      </c>
      <c r="K263" s="372">
        <v>0</v>
      </c>
      <c r="L263" s="372">
        <v>0</v>
      </c>
      <c r="M263" s="372">
        <v>1</v>
      </c>
      <c r="N263" s="372">
        <v>0</v>
      </c>
      <c r="O263" s="372">
        <v>1</v>
      </c>
      <c r="P263" s="372">
        <v>1</v>
      </c>
      <c r="Q263" s="372">
        <v>0</v>
      </c>
      <c r="R263" s="372">
        <v>1</v>
      </c>
      <c r="S263" s="372">
        <v>1</v>
      </c>
    </row>
    <row r="264" spans="1:19" ht="12.75">
      <c r="A264" s="369" t="s">
        <v>1803</v>
      </c>
      <c r="B264" s="369" t="s">
        <v>1371</v>
      </c>
      <c r="C264" s="369" t="s">
        <v>630</v>
      </c>
      <c r="D264" s="372">
        <v>0</v>
      </c>
      <c r="E264" s="372">
        <v>0</v>
      </c>
      <c r="F264" s="372">
        <v>0</v>
      </c>
      <c r="G264" s="372">
        <v>0</v>
      </c>
      <c r="H264" s="372">
        <v>0</v>
      </c>
      <c r="I264" s="372">
        <v>0</v>
      </c>
      <c r="J264" s="372">
        <v>0</v>
      </c>
      <c r="K264" s="372">
        <v>0</v>
      </c>
      <c r="L264" s="372">
        <v>0</v>
      </c>
      <c r="M264" s="372">
        <v>0</v>
      </c>
      <c r="N264" s="372">
        <v>0</v>
      </c>
      <c r="O264" s="372">
        <v>0</v>
      </c>
      <c r="P264" s="372">
        <v>0</v>
      </c>
      <c r="Q264" s="372">
        <v>0</v>
      </c>
      <c r="R264" s="372">
        <v>0</v>
      </c>
      <c r="S264" s="372">
        <v>0</v>
      </c>
    </row>
    <row r="265" spans="1:19" ht="12.75">
      <c r="A265" s="369" t="s">
        <v>1804</v>
      </c>
      <c r="B265" s="369" t="s">
        <v>1616</v>
      </c>
      <c r="C265" s="369" t="s">
        <v>631</v>
      </c>
      <c r="D265" s="372">
        <v>1</v>
      </c>
      <c r="E265" s="372">
        <v>1</v>
      </c>
      <c r="F265" s="372">
        <v>1</v>
      </c>
      <c r="G265" s="372">
        <v>1</v>
      </c>
      <c r="H265" s="372">
        <v>1</v>
      </c>
      <c r="I265" s="372">
        <v>1</v>
      </c>
      <c r="J265" s="372">
        <v>0</v>
      </c>
      <c r="K265" s="372">
        <v>0</v>
      </c>
      <c r="L265" s="372">
        <v>0</v>
      </c>
      <c r="M265" s="372">
        <v>1</v>
      </c>
      <c r="N265" s="372">
        <v>0</v>
      </c>
      <c r="O265" s="372">
        <v>1</v>
      </c>
      <c r="P265" s="372">
        <v>1</v>
      </c>
      <c r="Q265" s="372">
        <v>0</v>
      </c>
      <c r="R265" s="372">
        <v>0</v>
      </c>
      <c r="S265" s="372">
        <v>1</v>
      </c>
    </row>
    <row r="266" spans="1:19" ht="12.75">
      <c r="A266" s="369" t="s">
        <v>1843</v>
      </c>
      <c r="B266" s="369" t="s">
        <v>368</v>
      </c>
      <c r="C266" s="369" t="s">
        <v>632</v>
      </c>
      <c r="D266" s="372">
        <v>0</v>
      </c>
      <c r="E266" s="372">
        <v>0</v>
      </c>
      <c r="F266" s="372">
        <v>0</v>
      </c>
      <c r="G266" s="372">
        <v>0</v>
      </c>
      <c r="H266" s="372">
        <v>0</v>
      </c>
      <c r="I266" s="372">
        <v>0</v>
      </c>
      <c r="J266" s="372">
        <v>0</v>
      </c>
      <c r="K266" s="372">
        <v>0</v>
      </c>
      <c r="L266" s="372">
        <v>0</v>
      </c>
      <c r="M266" s="372">
        <v>0</v>
      </c>
      <c r="N266" s="372">
        <v>0</v>
      </c>
      <c r="O266" s="372">
        <v>0</v>
      </c>
      <c r="P266" s="372">
        <v>0</v>
      </c>
      <c r="Q266" s="372">
        <v>1</v>
      </c>
      <c r="R266" s="372">
        <v>0</v>
      </c>
      <c r="S266" s="372">
        <v>0</v>
      </c>
    </row>
    <row r="267" spans="1:19" ht="12.75">
      <c r="A267" s="369" t="s">
        <v>1844</v>
      </c>
      <c r="B267" s="369" t="s">
        <v>1617</v>
      </c>
      <c r="C267" s="369" t="s">
        <v>633</v>
      </c>
      <c r="D267" s="372">
        <v>0</v>
      </c>
      <c r="E267" s="372">
        <v>1</v>
      </c>
      <c r="F267" s="372">
        <v>0</v>
      </c>
      <c r="G267" s="372">
        <v>0</v>
      </c>
      <c r="H267" s="372">
        <v>0</v>
      </c>
      <c r="I267" s="372">
        <v>0</v>
      </c>
      <c r="J267" s="372">
        <v>0</v>
      </c>
      <c r="K267" s="372">
        <v>0</v>
      </c>
      <c r="L267" s="372">
        <v>0</v>
      </c>
      <c r="M267" s="372">
        <v>0</v>
      </c>
      <c r="N267" s="372">
        <v>0</v>
      </c>
      <c r="O267" s="372">
        <v>0</v>
      </c>
      <c r="P267" s="372">
        <v>0</v>
      </c>
      <c r="Q267" s="372">
        <v>0</v>
      </c>
      <c r="R267" s="372">
        <v>0</v>
      </c>
      <c r="S267" s="372">
        <v>0</v>
      </c>
    </row>
    <row r="268" spans="1:19" ht="12.75">
      <c r="A268" s="369" t="s">
        <v>25</v>
      </c>
      <c r="B268" s="369" t="s">
        <v>1618</v>
      </c>
      <c r="C268" s="369" t="s">
        <v>634</v>
      </c>
      <c r="D268" s="372">
        <v>1</v>
      </c>
      <c r="E268" s="372">
        <v>0</v>
      </c>
      <c r="F268" s="372">
        <v>0</v>
      </c>
      <c r="G268" s="372">
        <v>0</v>
      </c>
      <c r="H268" s="372">
        <v>0</v>
      </c>
      <c r="I268" s="372">
        <v>1</v>
      </c>
      <c r="J268" s="372">
        <v>1</v>
      </c>
      <c r="K268" s="372">
        <v>1</v>
      </c>
      <c r="L268" s="372">
        <v>0</v>
      </c>
      <c r="M268" s="372">
        <v>0</v>
      </c>
      <c r="N268" s="372">
        <v>1</v>
      </c>
      <c r="O268" s="372">
        <v>0</v>
      </c>
      <c r="P268" s="372">
        <v>0</v>
      </c>
      <c r="Q268" s="372">
        <v>1</v>
      </c>
      <c r="R268" s="372">
        <v>0</v>
      </c>
      <c r="S268" s="372">
        <v>1</v>
      </c>
    </row>
    <row r="269" spans="1:19" ht="12.75">
      <c r="A269" s="369" t="s">
        <v>1518</v>
      </c>
      <c r="B269" s="369" t="s">
        <v>143</v>
      </c>
      <c r="C269" s="369" t="s">
        <v>635</v>
      </c>
      <c r="D269" s="372">
        <v>0</v>
      </c>
      <c r="E269" s="372">
        <v>0</v>
      </c>
      <c r="F269" s="372">
        <v>0</v>
      </c>
      <c r="G269" s="372">
        <v>0</v>
      </c>
      <c r="H269" s="372">
        <v>0</v>
      </c>
      <c r="I269" s="372">
        <v>0</v>
      </c>
      <c r="J269" s="372">
        <v>0</v>
      </c>
      <c r="K269" s="372">
        <v>0</v>
      </c>
      <c r="L269" s="372">
        <v>0</v>
      </c>
      <c r="M269" s="372">
        <v>0</v>
      </c>
      <c r="N269" s="372">
        <v>0</v>
      </c>
      <c r="O269" s="372">
        <v>0</v>
      </c>
      <c r="P269" s="372">
        <v>0</v>
      </c>
      <c r="Q269" s="372">
        <v>0</v>
      </c>
      <c r="R269" s="372">
        <v>0</v>
      </c>
      <c r="S269" s="372">
        <v>0</v>
      </c>
    </row>
    <row r="270" spans="1:19" ht="12.75">
      <c r="A270" s="369" t="s">
        <v>1507</v>
      </c>
      <c r="B270" s="369" t="s">
        <v>636</v>
      </c>
      <c r="C270" s="369"/>
      <c r="D270" s="372">
        <v>0</v>
      </c>
      <c r="E270" s="372">
        <v>0</v>
      </c>
      <c r="F270" s="372">
        <v>0</v>
      </c>
      <c r="G270" s="372">
        <v>0</v>
      </c>
      <c r="H270" s="372">
        <v>0</v>
      </c>
      <c r="I270" s="372">
        <v>0</v>
      </c>
      <c r="J270" s="372">
        <v>0</v>
      </c>
      <c r="K270" s="372">
        <v>0</v>
      </c>
      <c r="L270" s="372">
        <v>0</v>
      </c>
      <c r="M270" s="372">
        <v>0</v>
      </c>
      <c r="N270" s="372">
        <v>0</v>
      </c>
      <c r="O270" s="372">
        <v>0</v>
      </c>
      <c r="P270" s="372">
        <v>0</v>
      </c>
      <c r="Q270" s="372">
        <v>0</v>
      </c>
      <c r="R270" s="372">
        <v>0</v>
      </c>
      <c r="S270" s="372">
        <v>0</v>
      </c>
    </row>
    <row r="271" spans="1:19" ht="12.75">
      <c r="A271" s="369" t="s">
        <v>1661</v>
      </c>
      <c r="B271" s="369" t="s">
        <v>1372</v>
      </c>
      <c r="C271" s="369" t="s">
        <v>637</v>
      </c>
      <c r="D271" s="372">
        <v>0</v>
      </c>
      <c r="E271" s="372">
        <v>0</v>
      </c>
      <c r="F271" s="372">
        <v>0</v>
      </c>
      <c r="G271" s="372">
        <v>0</v>
      </c>
      <c r="H271" s="372">
        <v>0</v>
      </c>
      <c r="I271" s="372">
        <v>0</v>
      </c>
      <c r="J271" s="372">
        <v>0</v>
      </c>
      <c r="K271" s="372">
        <v>0</v>
      </c>
      <c r="L271" s="372">
        <v>0</v>
      </c>
      <c r="M271" s="372">
        <v>0</v>
      </c>
      <c r="N271" s="372">
        <v>0</v>
      </c>
      <c r="O271" s="372">
        <v>0</v>
      </c>
      <c r="P271" s="372">
        <v>0</v>
      </c>
      <c r="Q271" s="372">
        <v>0</v>
      </c>
      <c r="R271" s="372">
        <v>0</v>
      </c>
      <c r="S271" s="372">
        <v>0</v>
      </c>
    </row>
    <row r="272" spans="1:19" ht="12.75">
      <c r="A272" s="369" t="s">
        <v>1522</v>
      </c>
      <c r="B272" s="369" t="s">
        <v>1521</v>
      </c>
      <c r="C272" s="369" t="s">
        <v>638</v>
      </c>
      <c r="D272" s="372">
        <v>0</v>
      </c>
      <c r="E272" s="372">
        <v>0</v>
      </c>
      <c r="F272" s="372">
        <v>0</v>
      </c>
      <c r="G272" s="372">
        <v>0</v>
      </c>
      <c r="H272" s="372">
        <v>0</v>
      </c>
      <c r="I272" s="372">
        <v>0</v>
      </c>
      <c r="J272" s="372">
        <v>0</v>
      </c>
      <c r="K272" s="372">
        <v>0</v>
      </c>
      <c r="L272" s="372">
        <v>0</v>
      </c>
      <c r="M272" s="372">
        <v>0</v>
      </c>
      <c r="N272" s="372">
        <v>0</v>
      </c>
      <c r="O272" s="372">
        <v>0</v>
      </c>
      <c r="P272" s="372">
        <v>0</v>
      </c>
      <c r="Q272" s="372">
        <v>0</v>
      </c>
      <c r="R272" s="372">
        <v>0</v>
      </c>
      <c r="S272" s="372">
        <v>0</v>
      </c>
    </row>
    <row r="273" spans="1:19" ht="12.75">
      <c r="A273" s="369" t="s">
        <v>1271</v>
      </c>
      <c r="B273" s="369" t="s">
        <v>1523</v>
      </c>
      <c r="C273" s="369" t="s">
        <v>639</v>
      </c>
      <c r="D273" s="372">
        <v>0</v>
      </c>
      <c r="E273" s="372">
        <v>0</v>
      </c>
      <c r="F273" s="372">
        <v>0</v>
      </c>
      <c r="G273" s="372">
        <v>0</v>
      </c>
      <c r="H273" s="372">
        <v>0</v>
      </c>
      <c r="I273" s="372">
        <v>0</v>
      </c>
      <c r="J273" s="372">
        <v>0</v>
      </c>
      <c r="K273" s="372">
        <v>0</v>
      </c>
      <c r="L273" s="372">
        <v>0</v>
      </c>
      <c r="M273" s="372">
        <v>0</v>
      </c>
      <c r="N273" s="372">
        <v>0</v>
      </c>
      <c r="O273" s="372">
        <v>0</v>
      </c>
      <c r="P273" s="372">
        <v>0</v>
      </c>
      <c r="Q273" s="372">
        <v>0</v>
      </c>
      <c r="R273" s="372">
        <v>0</v>
      </c>
      <c r="S273" s="372">
        <v>0</v>
      </c>
    </row>
    <row r="274" spans="1:19" ht="12.75">
      <c r="A274" s="369" t="s">
        <v>2263</v>
      </c>
      <c r="B274" s="369" t="s">
        <v>1272</v>
      </c>
      <c r="C274" s="369" t="s">
        <v>640</v>
      </c>
      <c r="D274" s="372">
        <v>0</v>
      </c>
      <c r="E274" s="372">
        <v>0</v>
      </c>
      <c r="F274" s="372">
        <v>0</v>
      </c>
      <c r="G274" s="372">
        <v>0</v>
      </c>
      <c r="H274" s="372">
        <v>0</v>
      </c>
      <c r="I274" s="372">
        <v>0</v>
      </c>
      <c r="J274" s="372">
        <v>0</v>
      </c>
      <c r="K274" s="372">
        <v>0</v>
      </c>
      <c r="L274" s="372">
        <v>0</v>
      </c>
      <c r="M274" s="372">
        <v>0</v>
      </c>
      <c r="N274" s="372">
        <v>0</v>
      </c>
      <c r="O274" s="372">
        <v>0</v>
      </c>
      <c r="P274" s="372">
        <v>0</v>
      </c>
      <c r="Q274" s="372">
        <v>0</v>
      </c>
      <c r="R274" s="372">
        <v>0</v>
      </c>
      <c r="S274" s="372">
        <v>0</v>
      </c>
    </row>
    <row r="275" spans="1:19" ht="12.75">
      <c r="A275" s="369" t="s">
        <v>2444</v>
      </c>
      <c r="B275" s="369" t="s">
        <v>2264</v>
      </c>
      <c r="C275" s="369" t="s">
        <v>641</v>
      </c>
      <c r="D275" s="372">
        <v>0</v>
      </c>
      <c r="E275" s="372">
        <v>0</v>
      </c>
      <c r="F275" s="372">
        <v>0</v>
      </c>
      <c r="G275" s="372">
        <v>0</v>
      </c>
      <c r="H275" s="372">
        <v>0</v>
      </c>
      <c r="I275" s="372">
        <v>0</v>
      </c>
      <c r="J275" s="372">
        <v>0</v>
      </c>
      <c r="K275" s="372">
        <v>0</v>
      </c>
      <c r="L275" s="372">
        <v>0</v>
      </c>
      <c r="M275" s="372">
        <v>0</v>
      </c>
      <c r="N275" s="372">
        <v>0</v>
      </c>
      <c r="O275" s="372">
        <v>0</v>
      </c>
      <c r="P275" s="372">
        <v>0</v>
      </c>
      <c r="Q275" s="372">
        <v>0</v>
      </c>
      <c r="R275" s="372">
        <v>0</v>
      </c>
      <c r="S275" s="372">
        <v>0</v>
      </c>
    </row>
    <row r="276" spans="1:19" ht="12.75">
      <c r="A276" s="369" t="s">
        <v>1570</v>
      </c>
      <c r="B276" s="369" t="s">
        <v>1571</v>
      </c>
      <c r="C276" s="369"/>
      <c r="D276" s="372">
        <v>0</v>
      </c>
      <c r="E276" s="372">
        <v>0</v>
      </c>
      <c r="F276" s="372">
        <v>0</v>
      </c>
      <c r="G276" s="372">
        <v>0</v>
      </c>
      <c r="H276" s="372">
        <v>0</v>
      </c>
      <c r="I276" s="372">
        <v>0</v>
      </c>
      <c r="J276" s="372">
        <v>0</v>
      </c>
      <c r="K276" s="372">
        <v>0</v>
      </c>
      <c r="L276" s="372">
        <v>0</v>
      </c>
      <c r="M276" s="372">
        <v>0</v>
      </c>
      <c r="N276" s="372">
        <v>0</v>
      </c>
      <c r="O276" s="372">
        <v>0</v>
      </c>
      <c r="P276" s="372">
        <v>0</v>
      </c>
      <c r="Q276" s="372">
        <v>0</v>
      </c>
      <c r="R276" s="372">
        <v>0</v>
      </c>
      <c r="S276" s="372">
        <v>0</v>
      </c>
    </row>
    <row r="277" spans="1:19" ht="12.75">
      <c r="A277" s="369" t="s">
        <v>1508</v>
      </c>
      <c r="B277" s="369" t="s">
        <v>642</v>
      </c>
      <c r="C277" s="369"/>
      <c r="D277" s="372">
        <v>0</v>
      </c>
      <c r="E277" s="372">
        <v>0</v>
      </c>
      <c r="F277" s="372">
        <v>0</v>
      </c>
      <c r="G277" s="372">
        <v>0</v>
      </c>
      <c r="H277" s="372">
        <v>0</v>
      </c>
      <c r="I277" s="372">
        <v>0</v>
      </c>
      <c r="J277" s="372">
        <v>0</v>
      </c>
      <c r="K277" s="372">
        <v>0</v>
      </c>
      <c r="L277" s="372">
        <v>0</v>
      </c>
      <c r="M277" s="372">
        <v>0</v>
      </c>
      <c r="N277" s="372">
        <v>0</v>
      </c>
      <c r="O277" s="372">
        <v>0</v>
      </c>
      <c r="P277" s="372">
        <v>0</v>
      </c>
      <c r="Q277" s="372">
        <v>0</v>
      </c>
      <c r="R277" s="372">
        <v>0</v>
      </c>
      <c r="S277" s="372">
        <v>0</v>
      </c>
    </row>
    <row r="278" spans="1:19" ht="12.75">
      <c r="A278" s="369" t="s">
        <v>2446</v>
      </c>
      <c r="B278" s="369" t="s">
        <v>2445</v>
      </c>
      <c r="C278" s="369" t="s">
        <v>643</v>
      </c>
      <c r="D278" s="372">
        <v>0</v>
      </c>
      <c r="E278" s="372">
        <v>0</v>
      </c>
      <c r="F278" s="372">
        <v>0</v>
      </c>
      <c r="G278" s="372">
        <v>0</v>
      </c>
      <c r="H278" s="372">
        <v>0</v>
      </c>
      <c r="I278" s="372">
        <v>0</v>
      </c>
      <c r="J278" s="372">
        <v>0</v>
      </c>
      <c r="K278" s="372">
        <v>0</v>
      </c>
      <c r="L278" s="372">
        <v>0</v>
      </c>
      <c r="M278" s="372">
        <v>0</v>
      </c>
      <c r="N278" s="372">
        <v>0</v>
      </c>
      <c r="O278" s="372">
        <v>0</v>
      </c>
      <c r="P278" s="372">
        <v>0</v>
      </c>
      <c r="Q278" s="372">
        <v>0</v>
      </c>
      <c r="R278" s="372">
        <v>0</v>
      </c>
      <c r="S278" s="372">
        <v>0</v>
      </c>
    </row>
    <row r="279" spans="1:19" ht="12.75">
      <c r="A279" s="369" t="s">
        <v>51</v>
      </c>
      <c r="B279" s="369" t="s">
        <v>1619</v>
      </c>
      <c r="C279" s="369" t="s">
        <v>644</v>
      </c>
      <c r="D279" s="372">
        <v>0</v>
      </c>
      <c r="E279" s="372">
        <v>0</v>
      </c>
      <c r="F279" s="372">
        <v>0</v>
      </c>
      <c r="G279" s="372">
        <v>1</v>
      </c>
      <c r="H279" s="372">
        <v>1</v>
      </c>
      <c r="I279" s="372">
        <v>0</v>
      </c>
      <c r="J279" s="372">
        <v>1</v>
      </c>
      <c r="K279" s="372">
        <v>0</v>
      </c>
      <c r="L279" s="372">
        <v>0</v>
      </c>
      <c r="M279" s="372">
        <v>0</v>
      </c>
      <c r="N279" s="372">
        <v>0</v>
      </c>
      <c r="O279" s="372">
        <v>1</v>
      </c>
      <c r="P279" s="372">
        <v>0</v>
      </c>
      <c r="Q279" s="372">
        <v>0</v>
      </c>
      <c r="R279" s="372">
        <v>0</v>
      </c>
      <c r="S279" s="372">
        <v>0</v>
      </c>
    </row>
    <row r="280" spans="1:19" ht="12.75">
      <c r="A280" s="369" t="s">
        <v>2448</v>
      </c>
      <c r="B280" s="369" t="s">
        <v>2447</v>
      </c>
      <c r="C280" s="369"/>
      <c r="D280" s="372">
        <v>0</v>
      </c>
      <c r="E280" s="372">
        <v>0</v>
      </c>
      <c r="F280" s="372">
        <v>0</v>
      </c>
      <c r="G280" s="372">
        <v>0</v>
      </c>
      <c r="H280" s="372">
        <v>0</v>
      </c>
      <c r="I280" s="372">
        <v>0</v>
      </c>
      <c r="J280" s="372">
        <v>0</v>
      </c>
      <c r="K280" s="372">
        <v>0</v>
      </c>
      <c r="L280" s="372">
        <v>0</v>
      </c>
      <c r="M280" s="372">
        <v>0</v>
      </c>
      <c r="N280" s="372">
        <v>0</v>
      </c>
      <c r="O280" s="372">
        <v>0</v>
      </c>
      <c r="P280" s="372">
        <v>0</v>
      </c>
      <c r="Q280" s="372">
        <v>0</v>
      </c>
      <c r="R280" s="372">
        <v>0</v>
      </c>
      <c r="S280" s="372">
        <v>0</v>
      </c>
    </row>
    <row r="281" spans="1:19" ht="12.75">
      <c r="A281" s="369" t="s">
        <v>52</v>
      </c>
      <c r="B281" s="369" t="s">
        <v>1373</v>
      </c>
      <c r="C281" s="369" t="s">
        <v>645</v>
      </c>
      <c r="D281" s="372">
        <v>0</v>
      </c>
      <c r="E281" s="372">
        <v>0</v>
      </c>
      <c r="F281" s="372">
        <v>0</v>
      </c>
      <c r="G281" s="372">
        <v>0</v>
      </c>
      <c r="H281" s="372">
        <v>0</v>
      </c>
      <c r="I281" s="372">
        <v>0</v>
      </c>
      <c r="J281" s="372">
        <v>0</v>
      </c>
      <c r="K281" s="372">
        <v>0</v>
      </c>
      <c r="L281" s="372">
        <v>0</v>
      </c>
      <c r="M281" s="372">
        <v>0</v>
      </c>
      <c r="N281" s="372">
        <v>0</v>
      </c>
      <c r="O281" s="372">
        <v>0</v>
      </c>
      <c r="P281" s="372">
        <v>0</v>
      </c>
      <c r="Q281" s="372">
        <v>0</v>
      </c>
      <c r="R281" s="372">
        <v>0</v>
      </c>
      <c r="S281" s="372">
        <v>0</v>
      </c>
    </row>
    <row r="282" spans="1:19" ht="12.75">
      <c r="A282" s="369" t="s">
        <v>56</v>
      </c>
      <c r="B282" s="369" t="s">
        <v>2449</v>
      </c>
      <c r="C282" s="369" t="s">
        <v>646</v>
      </c>
      <c r="D282" s="372">
        <v>0</v>
      </c>
      <c r="E282" s="372">
        <v>0</v>
      </c>
      <c r="F282" s="372">
        <v>0</v>
      </c>
      <c r="G282" s="372">
        <v>0</v>
      </c>
      <c r="H282" s="372">
        <v>0</v>
      </c>
      <c r="I282" s="372">
        <v>0</v>
      </c>
      <c r="J282" s="372">
        <v>0</v>
      </c>
      <c r="K282" s="372">
        <v>0</v>
      </c>
      <c r="L282" s="372">
        <v>0</v>
      </c>
      <c r="M282" s="372">
        <v>0</v>
      </c>
      <c r="N282" s="372">
        <v>0</v>
      </c>
      <c r="O282" s="372">
        <v>0</v>
      </c>
      <c r="P282" s="372">
        <v>0</v>
      </c>
      <c r="Q282" s="372">
        <v>0</v>
      </c>
      <c r="R282" s="372">
        <v>0</v>
      </c>
      <c r="S282" s="372">
        <v>0</v>
      </c>
    </row>
    <row r="283" spans="1:19" ht="12.75">
      <c r="A283" s="369" t="s">
        <v>162</v>
      </c>
      <c r="B283" s="369" t="s">
        <v>34</v>
      </c>
      <c r="C283" s="369" t="s">
        <v>647</v>
      </c>
      <c r="D283" s="372">
        <v>0</v>
      </c>
      <c r="E283" s="372">
        <v>0</v>
      </c>
      <c r="F283" s="372">
        <v>0</v>
      </c>
      <c r="G283" s="372">
        <v>0</v>
      </c>
      <c r="H283" s="372">
        <v>0</v>
      </c>
      <c r="I283" s="372">
        <v>0</v>
      </c>
      <c r="J283" s="372">
        <v>0</v>
      </c>
      <c r="K283" s="372">
        <v>0</v>
      </c>
      <c r="L283" s="372">
        <v>0</v>
      </c>
      <c r="M283" s="372">
        <v>0</v>
      </c>
      <c r="N283" s="372">
        <v>0</v>
      </c>
      <c r="O283" s="372">
        <v>0</v>
      </c>
      <c r="P283" s="372">
        <v>0</v>
      </c>
      <c r="Q283" s="372">
        <v>0</v>
      </c>
      <c r="R283" s="372">
        <v>0</v>
      </c>
      <c r="S283" s="372">
        <v>0</v>
      </c>
    </row>
    <row r="284" spans="1:19" ht="12.75">
      <c r="A284" s="369" t="s">
        <v>2084</v>
      </c>
      <c r="B284" s="369" t="s">
        <v>1620</v>
      </c>
      <c r="C284" s="369" t="s">
        <v>648</v>
      </c>
      <c r="D284" s="372">
        <v>0</v>
      </c>
      <c r="E284" s="372">
        <v>0</v>
      </c>
      <c r="F284" s="372">
        <v>0</v>
      </c>
      <c r="G284" s="372">
        <v>1</v>
      </c>
      <c r="H284" s="372">
        <v>1</v>
      </c>
      <c r="I284" s="372">
        <v>0</v>
      </c>
      <c r="J284" s="372">
        <v>0</v>
      </c>
      <c r="K284" s="372">
        <v>0</v>
      </c>
      <c r="L284" s="372">
        <v>0</v>
      </c>
      <c r="M284" s="372">
        <v>0</v>
      </c>
      <c r="N284" s="372">
        <v>0</v>
      </c>
      <c r="O284" s="372">
        <v>0</v>
      </c>
      <c r="P284" s="372">
        <v>0</v>
      </c>
      <c r="Q284" s="372">
        <v>0</v>
      </c>
      <c r="R284" s="372">
        <v>0</v>
      </c>
      <c r="S284" s="372">
        <v>0</v>
      </c>
    </row>
    <row r="285" spans="1:19" ht="12.75">
      <c r="A285" s="369" t="s">
        <v>2082</v>
      </c>
      <c r="B285" s="369" t="s">
        <v>1621</v>
      </c>
      <c r="C285" s="369" t="s">
        <v>649</v>
      </c>
      <c r="D285" s="372">
        <v>1</v>
      </c>
      <c r="E285" s="372">
        <v>0</v>
      </c>
      <c r="F285" s="372">
        <v>0</v>
      </c>
      <c r="G285" s="372">
        <v>1</v>
      </c>
      <c r="H285" s="372">
        <v>1</v>
      </c>
      <c r="I285" s="372">
        <v>1</v>
      </c>
      <c r="J285" s="372">
        <v>1</v>
      </c>
      <c r="K285" s="372">
        <v>0</v>
      </c>
      <c r="L285" s="372">
        <v>0</v>
      </c>
      <c r="M285" s="372">
        <v>1</v>
      </c>
      <c r="N285" s="372">
        <v>0</v>
      </c>
      <c r="O285" s="372">
        <v>1</v>
      </c>
      <c r="P285" s="372">
        <v>1</v>
      </c>
      <c r="Q285" s="372">
        <v>0</v>
      </c>
      <c r="R285" s="372">
        <v>0</v>
      </c>
      <c r="S285" s="372">
        <v>1</v>
      </c>
    </row>
    <row r="286" spans="1:19" ht="12.75">
      <c r="A286" s="369" t="s">
        <v>1572</v>
      </c>
      <c r="B286" s="369" t="s">
        <v>1573</v>
      </c>
      <c r="C286" s="369"/>
      <c r="D286" s="372">
        <v>0</v>
      </c>
      <c r="E286" s="372">
        <v>0</v>
      </c>
      <c r="F286" s="372">
        <v>0</v>
      </c>
      <c r="G286" s="372">
        <v>0</v>
      </c>
      <c r="H286" s="372">
        <v>0</v>
      </c>
      <c r="I286" s="372">
        <v>0</v>
      </c>
      <c r="J286" s="372">
        <v>0</v>
      </c>
      <c r="K286" s="372">
        <v>0</v>
      </c>
      <c r="L286" s="372">
        <v>0</v>
      </c>
      <c r="M286" s="372">
        <v>0</v>
      </c>
      <c r="N286" s="372">
        <v>0</v>
      </c>
      <c r="O286" s="372">
        <v>0</v>
      </c>
      <c r="P286" s="372">
        <v>0</v>
      </c>
      <c r="Q286" s="372">
        <v>0</v>
      </c>
      <c r="R286" s="372">
        <v>0</v>
      </c>
      <c r="S286" s="372">
        <v>0</v>
      </c>
    </row>
    <row r="287" spans="1:19" ht="12.75">
      <c r="A287" s="369" t="s">
        <v>1924</v>
      </c>
      <c r="B287" s="369" t="s">
        <v>1923</v>
      </c>
      <c r="C287" s="369" t="s">
        <v>650</v>
      </c>
      <c r="D287" s="372">
        <v>0</v>
      </c>
      <c r="E287" s="372">
        <v>0</v>
      </c>
      <c r="F287" s="372">
        <v>0</v>
      </c>
      <c r="G287" s="372">
        <v>0</v>
      </c>
      <c r="H287" s="372">
        <v>0</v>
      </c>
      <c r="I287" s="372">
        <v>0</v>
      </c>
      <c r="J287" s="372">
        <v>0</v>
      </c>
      <c r="K287" s="372">
        <v>0</v>
      </c>
      <c r="L287" s="372">
        <v>0</v>
      </c>
      <c r="M287" s="372">
        <v>0</v>
      </c>
      <c r="N287" s="372">
        <v>0</v>
      </c>
      <c r="O287" s="372">
        <v>0</v>
      </c>
      <c r="P287" s="372">
        <v>0</v>
      </c>
      <c r="Q287" s="372">
        <v>0</v>
      </c>
      <c r="R287" s="372">
        <v>0</v>
      </c>
      <c r="S287" s="372">
        <v>0</v>
      </c>
    </row>
    <row r="288" spans="1:19" ht="12.75">
      <c r="A288" s="369" t="s">
        <v>1293</v>
      </c>
      <c r="B288" s="369" t="s">
        <v>1622</v>
      </c>
      <c r="C288" s="369" t="s">
        <v>651</v>
      </c>
      <c r="D288" s="372">
        <v>0</v>
      </c>
      <c r="E288" s="372">
        <v>0</v>
      </c>
      <c r="F288" s="372">
        <v>0</v>
      </c>
      <c r="G288" s="372">
        <v>0</v>
      </c>
      <c r="H288" s="372">
        <v>0</v>
      </c>
      <c r="I288" s="372">
        <v>0</v>
      </c>
      <c r="J288" s="372">
        <v>0</v>
      </c>
      <c r="K288" s="372">
        <v>0</v>
      </c>
      <c r="L288" s="372">
        <v>1</v>
      </c>
      <c r="M288" s="372">
        <v>0</v>
      </c>
      <c r="N288" s="372">
        <v>0</v>
      </c>
      <c r="O288" s="372">
        <v>0</v>
      </c>
      <c r="P288" s="372">
        <v>0</v>
      </c>
      <c r="Q288" s="372">
        <v>0</v>
      </c>
      <c r="R288" s="372">
        <v>0</v>
      </c>
      <c r="S288" s="372">
        <v>0</v>
      </c>
    </row>
    <row r="289" spans="1:19" ht="12.75">
      <c r="A289" s="369" t="s">
        <v>2376</v>
      </c>
      <c r="B289" s="369" t="s">
        <v>1623</v>
      </c>
      <c r="C289" s="369" t="s">
        <v>652</v>
      </c>
      <c r="D289" s="372">
        <v>0</v>
      </c>
      <c r="E289" s="372">
        <v>0</v>
      </c>
      <c r="F289" s="372">
        <v>0</v>
      </c>
      <c r="G289" s="372">
        <v>0</v>
      </c>
      <c r="H289" s="372">
        <v>1</v>
      </c>
      <c r="I289" s="372">
        <v>0</v>
      </c>
      <c r="J289" s="372">
        <v>0</v>
      </c>
      <c r="K289" s="372">
        <v>1</v>
      </c>
      <c r="L289" s="372">
        <v>0</v>
      </c>
      <c r="M289" s="372">
        <v>0</v>
      </c>
      <c r="N289" s="372">
        <v>0</v>
      </c>
      <c r="O289" s="372">
        <v>1</v>
      </c>
      <c r="P289" s="372">
        <v>0</v>
      </c>
      <c r="Q289" s="372">
        <v>0</v>
      </c>
      <c r="R289" s="372">
        <v>0</v>
      </c>
      <c r="S289" s="372">
        <v>0</v>
      </c>
    </row>
    <row r="290" spans="1:19" ht="12.75">
      <c r="A290" s="369" t="s">
        <v>348</v>
      </c>
      <c r="B290" s="369" t="s">
        <v>1624</v>
      </c>
      <c r="C290" s="369" t="s">
        <v>653</v>
      </c>
      <c r="D290" s="372">
        <v>0</v>
      </c>
      <c r="E290" s="372">
        <v>0</v>
      </c>
      <c r="F290" s="372">
        <v>0</v>
      </c>
      <c r="G290" s="372">
        <v>0</v>
      </c>
      <c r="H290" s="372">
        <v>0</v>
      </c>
      <c r="I290" s="372">
        <v>0</v>
      </c>
      <c r="J290" s="372">
        <v>0</v>
      </c>
      <c r="K290" s="372">
        <v>0</v>
      </c>
      <c r="L290" s="372">
        <v>0</v>
      </c>
      <c r="M290" s="372">
        <v>1</v>
      </c>
      <c r="N290" s="372">
        <v>0</v>
      </c>
      <c r="O290" s="372">
        <v>0</v>
      </c>
      <c r="P290" s="372">
        <v>0</v>
      </c>
      <c r="Q290" s="372">
        <v>0</v>
      </c>
      <c r="R290" s="372">
        <v>0</v>
      </c>
      <c r="S290" s="372">
        <v>0</v>
      </c>
    </row>
    <row r="291" spans="1:19" ht="12.75">
      <c r="A291" s="369" t="s">
        <v>349</v>
      </c>
      <c r="B291" s="369" t="s">
        <v>1625</v>
      </c>
      <c r="C291" s="369" t="s">
        <v>654</v>
      </c>
      <c r="D291" s="372">
        <v>0</v>
      </c>
      <c r="E291" s="372">
        <v>0</v>
      </c>
      <c r="F291" s="372">
        <v>0</v>
      </c>
      <c r="G291" s="372">
        <v>0</v>
      </c>
      <c r="H291" s="372">
        <v>0</v>
      </c>
      <c r="I291" s="372">
        <v>0</v>
      </c>
      <c r="J291" s="372">
        <v>0</v>
      </c>
      <c r="K291" s="372">
        <v>0</v>
      </c>
      <c r="L291" s="372">
        <v>0</v>
      </c>
      <c r="M291" s="372">
        <v>0</v>
      </c>
      <c r="N291" s="372">
        <v>0</v>
      </c>
      <c r="O291" s="372">
        <v>0</v>
      </c>
      <c r="P291" s="372">
        <v>0</v>
      </c>
      <c r="Q291" s="372">
        <v>0</v>
      </c>
      <c r="R291" s="372">
        <v>0</v>
      </c>
      <c r="S291" s="372">
        <v>0</v>
      </c>
    </row>
    <row r="292" spans="1:19" ht="12.75">
      <c r="A292" s="369" t="s">
        <v>1741</v>
      </c>
      <c r="B292" s="369" t="s">
        <v>1699</v>
      </c>
      <c r="C292" s="369" t="s">
        <v>655</v>
      </c>
      <c r="D292" s="372">
        <v>0</v>
      </c>
      <c r="E292" s="372">
        <v>0</v>
      </c>
      <c r="F292" s="372">
        <v>0</v>
      </c>
      <c r="G292" s="372">
        <v>0</v>
      </c>
      <c r="H292" s="372">
        <v>0</v>
      </c>
      <c r="I292" s="372">
        <v>0</v>
      </c>
      <c r="J292" s="372">
        <v>0</v>
      </c>
      <c r="K292" s="372">
        <v>0</v>
      </c>
      <c r="L292" s="372">
        <v>0</v>
      </c>
      <c r="M292" s="372">
        <v>0</v>
      </c>
      <c r="N292" s="372">
        <v>0</v>
      </c>
      <c r="O292" s="372">
        <v>0</v>
      </c>
      <c r="P292" s="372">
        <v>0</v>
      </c>
      <c r="Q292" s="372">
        <v>0</v>
      </c>
      <c r="R292" s="372">
        <v>0</v>
      </c>
      <c r="S292" s="372">
        <v>0</v>
      </c>
    </row>
    <row r="293" spans="1:19" ht="12.75">
      <c r="A293" s="369" t="s">
        <v>1742</v>
      </c>
      <c r="B293" s="369" t="s">
        <v>1700</v>
      </c>
      <c r="C293" s="369" t="s">
        <v>656</v>
      </c>
      <c r="D293" s="372">
        <v>0</v>
      </c>
      <c r="E293" s="372">
        <v>0</v>
      </c>
      <c r="F293" s="372">
        <v>0</v>
      </c>
      <c r="G293" s="372">
        <v>0</v>
      </c>
      <c r="H293" s="372">
        <v>0</v>
      </c>
      <c r="I293" s="372">
        <v>0</v>
      </c>
      <c r="J293" s="372">
        <v>0</v>
      </c>
      <c r="K293" s="372">
        <v>0</v>
      </c>
      <c r="L293" s="372">
        <v>0</v>
      </c>
      <c r="M293" s="372">
        <v>1</v>
      </c>
      <c r="N293" s="372">
        <v>0</v>
      </c>
      <c r="O293" s="372">
        <v>0</v>
      </c>
      <c r="P293" s="372">
        <v>0</v>
      </c>
      <c r="Q293" s="372">
        <v>0</v>
      </c>
      <c r="R293" s="372">
        <v>1</v>
      </c>
      <c r="S293" s="372">
        <v>0</v>
      </c>
    </row>
    <row r="294" spans="1:19" ht="12.75">
      <c r="A294" s="369" t="s">
        <v>1331</v>
      </c>
      <c r="B294" s="369" t="s">
        <v>163</v>
      </c>
      <c r="C294" s="369" t="s">
        <v>657</v>
      </c>
      <c r="D294" s="372">
        <v>0</v>
      </c>
      <c r="E294" s="372">
        <v>0</v>
      </c>
      <c r="F294" s="372">
        <v>0</v>
      </c>
      <c r="G294" s="372">
        <v>0</v>
      </c>
      <c r="H294" s="372">
        <v>0</v>
      </c>
      <c r="I294" s="372">
        <v>0</v>
      </c>
      <c r="J294" s="372">
        <v>0</v>
      </c>
      <c r="K294" s="372">
        <v>0</v>
      </c>
      <c r="L294" s="372">
        <v>0</v>
      </c>
      <c r="M294" s="372">
        <v>0</v>
      </c>
      <c r="N294" s="372">
        <v>0</v>
      </c>
      <c r="O294" s="372">
        <v>0</v>
      </c>
      <c r="P294" s="372">
        <v>0</v>
      </c>
      <c r="Q294" s="372">
        <v>0</v>
      </c>
      <c r="R294" s="372">
        <v>0</v>
      </c>
      <c r="S294" s="372">
        <v>0</v>
      </c>
    </row>
    <row r="295" spans="1:19" ht="12.75">
      <c r="A295" s="369" t="s">
        <v>1333</v>
      </c>
      <c r="B295" s="369" t="s">
        <v>1332</v>
      </c>
      <c r="C295" s="369" t="s">
        <v>658</v>
      </c>
      <c r="D295" s="372">
        <v>0</v>
      </c>
      <c r="E295" s="372">
        <v>0</v>
      </c>
      <c r="F295" s="372">
        <v>0</v>
      </c>
      <c r="G295" s="372">
        <v>0</v>
      </c>
      <c r="H295" s="372">
        <v>0</v>
      </c>
      <c r="I295" s="372">
        <v>0</v>
      </c>
      <c r="J295" s="372">
        <v>0</v>
      </c>
      <c r="K295" s="372">
        <v>0</v>
      </c>
      <c r="L295" s="372">
        <v>0</v>
      </c>
      <c r="M295" s="372">
        <v>0</v>
      </c>
      <c r="N295" s="372">
        <v>0</v>
      </c>
      <c r="O295" s="372">
        <v>0</v>
      </c>
      <c r="P295" s="372">
        <v>0</v>
      </c>
      <c r="Q295" s="372">
        <v>0</v>
      </c>
      <c r="R295" s="372">
        <v>0</v>
      </c>
      <c r="S295" s="372">
        <v>0</v>
      </c>
    </row>
    <row r="296" spans="1:19" ht="12.75">
      <c r="A296" s="369" t="s">
        <v>1335</v>
      </c>
      <c r="B296" s="369" t="s">
        <v>1334</v>
      </c>
      <c r="C296" s="369" t="s">
        <v>659</v>
      </c>
      <c r="D296" s="372">
        <v>0</v>
      </c>
      <c r="E296" s="372">
        <v>0</v>
      </c>
      <c r="F296" s="372">
        <v>0</v>
      </c>
      <c r="G296" s="372">
        <v>0</v>
      </c>
      <c r="H296" s="372">
        <v>0</v>
      </c>
      <c r="I296" s="372">
        <v>0</v>
      </c>
      <c r="J296" s="372">
        <v>0</v>
      </c>
      <c r="K296" s="372">
        <v>0</v>
      </c>
      <c r="L296" s="372">
        <v>0</v>
      </c>
      <c r="M296" s="372">
        <v>0</v>
      </c>
      <c r="N296" s="372">
        <v>0</v>
      </c>
      <c r="O296" s="372">
        <v>0</v>
      </c>
      <c r="P296" s="372">
        <v>0</v>
      </c>
      <c r="Q296" s="372">
        <v>0</v>
      </c>
      <c r="R296" s="372">
        <v>0</v>
      </c>
      <c r="S296" s="372">
        <v>0</v>
      </c>
    </row>
    <row r="297" spans="1:19" ht="12.75">
      <c r="A297" s="369" t="s">
        <v>1743</v>
      </c>
      <c r="B297" s="369" t="s">
        <v>1701</v>
      </c>
      <c r="C297" s="369" t="s">
        <v>660</v>
      </c>
      <c r="D297" s="372">
        <v>1</v>
      </c>
      <c r="E297" s="372">
        <v>1</v>
      </c>
      <c r="F297" s="372">
        <v>0</v>
      </c>
      <c r="G297" s="372">
        <v>1</v>
      </c>
      <c r="H297" s="372">
        <v>1</v>
      </c>
      <c r="I297" s="372">
        <v>1</v>
      </c>
      <c r="J297" s="372">
        <v>0</v>
      </c>
      <c r="K297" s="372">
        <v>0</v>
      </c>
      <c r="L297" s="372">
        <v>0</v>
      </c>
      <c r="M297" s="372">
        <v>1</v>
      </c>
      <c r="N297" s="372">
        <v>1</v>
      </c>
      <c r="O297" s="372">
        <v>1</v>
      </c>
      <c r="P297" s="372">
        <v>0</v>
      </c>
      <c r="Q297" s="372">
        <v>0</v>
      </c>
      <c r="R297" s="372">
        <v>0</v>
      </c>
      <c r="S297" s="372">
        <v>0</v>
      </c>
    </row>
    <row r="298" spans="1:19" ht="12.75">
      <c r="A298" s="369" t="s">
        <v>1744</v>
      </c>
      <c r="B298" s="369" t="s">
        <v>1374</v>
      </c>
      <c r="C298" s="369" t="s">
        <v>661</v>
      </c>
      <c r="D298" s="372">
        <v>0</v>
      </c>
      <c r="E298" s="372">
        <v>0</v>
      </c>
      <c r="F298" s="372">
        <v>0</v>
      </c>
      <c r="G298" s="372">
        <v>0</v>
      </c>
      <c r="H298" s="372">
        <v>0</v>
      </c>
      <c r="I298" s="372">
        <v>0</v>
      </c>
      <c r="J298" s="372">
        <v>0</v>
      </c>
      <c r="K298" s="372">
        <v>0</v>
      </c>
      <c r="L298" s="372">
        <v>0</v>
      </c>
      <c r="M298" s="372">
        <v>0</v>
      </c>
      <c r="N298" s="372">
        <v>0</v>
      </c>
      <c r="O298" s="372">
        <v>0</v>
      </c>
      <c r="P298" s="372">
        <v>0</v>
      </c>
      <c r="Q298" s="372">
        <v>0</v>
      </c>
      <c r="R298" s="372">
        <v>0</v>
      </c>
      <c r="S298" s="372">
        <v>0</v>
      </c>
    </row>
    <row r="299" spans="1:19" ht="12.75">
      <c r="A299" s="369" t="s">
        <v>1745</v>
      </c>
      <c r="B299" s="369" t="s">
        <v>1702</v>
      </c>
      <c r="C299" s="369" t="s">
        <v>662</v>
      </c>
      <c r="D299" s="372">
        <v>0</v>
      </c>
      <c r="E299" s="372">
        <v>0</v>
      </c>
      <c r="F299" s="372">
        <v>0</v>
      </c>
      <c r="G299" s="372">
        <v>0</v>
      </c>
      <c r="H299" s="372">
        <v>0</v>
      </c>
      <c r="I299" s="372">
        <v>0</v>
      </c>
      <c r="J299" s="372">
        <v>0</v>
      </c>
      <c r="K299" s="372">
        <v>0</v>
      </c>
      <c r="L299" s="372">
        <v>0</v>
      </c>
      <c r="M299" s="372">
        <v>0</v>
      </c>
      <c r="N299" s="372">
        <v>0</v>
      </c>
      <c r="O299" s="372">
        <v>0</v>
      </c>
      <c r="P299" s="372">
        <v>0</v>
      </c>
      <c r="Q299" s="372">
        <v>0</v>
      </c>
      <c r="R299" s="372">
        <v>0</v>
      </c>
      <c r="S299" s="372">
        <v>0</v>
      </c>
    </row>
    <row r="300" spans="1:19" ht="12.75">
      <c r="A300" s="369" t="s">
        <v>1761</v>
      </c>
      <c r="B300" s="369" t="s">
        <v>1703</v>
      </c>
      <c r="C300" s="369" t="s">
        <v>663</v>
      </c>
      <c r="D300" s="372">
        <v>0</v>
      </c>
      <c r="E300" s="372">
        <v>0</v>
      </c>
      <c r="F300" s="372">
        <v>0</v>
      </c>
      <c r="G300" s="372">
        <v>1</v>
      </c>
      <c r="H300" s="372">
        <v>1</v>
      </c>
      <c r="I300" s="372">
        <v>1</v>
      </c>
      <c r="J300" s="372">
        <v>1</v>
      </c>
      <c r="K300" s="372">
        <v>0</v>
      </c>
      <c r="L300" s="372">
        <v>0</v>
      </c>
      <c r="M300" s="372">
        <v>0</v>
      </c>
      <c r="N300" s="372">
        <v>1</v>
      </c>
      <c r="O300" s="372">
        <v>1</v>
      </c>
      <c r="P300" s="372">
        <v>1</v>
      </c>
      <c r="Q300" s="372">
        <v>1</v>
      </c>
      <c r="R300" s="372">
        <v>0</v>
      </c>
      <c r="S300" s="372">
        <v>0</v>
      </c>
    </row>
    <row r="301" spans="1:19" ht="12.75">
      <c r="A301" s="369" t="s">
        <v>1337</v>
      </c>
      <c r="B301" s="369" t="s">
        <v>1336</v>
      </c>
      <c r="C301" s="369" t="s">
        <v>664</v>
      </c>
      <c r="D301" s="372">
        <v>0</v>
      </c>
      <c r="E301" s="372">
        <v>0</v>
      </c>
      <c r="F301" s="372">
        <v>0</v>
      </c>
      <c r="G301" s="372">
        <v>0</v>
      </c>
      <c r="H301" s="372">
        <v>0</v>
      </c>
      <c r="I301" s="372">
        <v>0</v>
      </c>
      <c r="J301" s="372">
        <v>0</v>
      </c>
      <c r="K301" s="372">
        <v>0</v>
      </c>
      <c r="L301" s="372">
        <v>0</v>
      </c>
      <c r="M301" s="372">
        <v>0</v>
      </c>
      <c r="N301" s="372">
        <v>0</v>
      </c>
      <c r="O301" s="372">
        <v>0</v>
      </c>
      <c r="P301" s="372">
        <v>0</v>
      </c>
      <c r="Q301" s="372">
        <v>0</v>
      </c>
      <c r="R301" s="372">
        <v>0</v>
      </c>
      <c r="S301" s="372">
        <v>0</v>
      </c>
    </row>
    <row r="302" spans="1:19" ht="12.75">
      <c r="A302" s="369" t="s">
        <v>1762</v>
      </c>
      <c r="B302" s="369" t="s">
        <v>1704</v>
      </c>
      <c r="C302" s="369" t="s">
        <v>665</v>
      </c>
      <c r="D302" s="372">
        <v>0</v>
      </c>
      <c r="E302" s="372">
        <v>0</v>
      </c>
      <c r="F302" s="372">
        <v>0</v>
      </c>
      <c r="G302" s="372">
        <v>1</v>
      </c>
      <c r="H302" s="372">
        <v>1</v>
      </c>
      <c r="I302" s="372">
        <v>0</v>
      </c>
      <c r="J302" s="372">
        <v>0</v>
      </c>
      <c r="K302" s="372">
        <v>0</v>
      </c>
      <c r="L302" s="372">
        <v>0</v>
      </c>
      <c r="M302" s="372">
        <v>0</v>
      </c>
      <c r="N302" s="372">
        <v>0</v>
      </c>
      <c r="O302" s="372">
        <v>0</v>
      </c>
      <c r="P302" s="372">
        <v>0</v>
      </c>
      <c r="Q302" s="372">
        <v>0</v>
      </c>
      <c r="R302" s="372">
        <v>0</v>
      </c>
      <c r="S302" s="372">
        <v>0</v>
      </c>
    </row>
    <row r="303" spans="1:19" ht="12.75">
      <c r="A303" s="369" t="s">
        <v>209</v>
      </c>
      <c r="B303" s="369" t="s">
        <v>208</v>
      </c>
      <c r="C303" s="369" t="s">
        <v>666</v>
      </c>
      <c r="D303" s="372">
        <v>0</v>
      </c>
      <c r="E303" s="372">
        <v>0</v>
      </c>
      <c r="F303" s="372">
        <v>0</v>
      </c>
      <c r="G303" s="372">
        <v>0</v>
      </c>
      <c r="H303" s="372">
        <v>0</v>
      </c>
      <c r="I303" s="372">
        <v>0</v>
      </c>
      <c r="J303" s="372">
        <v>0</v>
      </c>
      <c r="K303" s="372">
        <v>0</v>
      </c>
      <c r="L303" s="372">
        <v>0</v>
      </c>
      <c r="M303" s="372">
        <v>0</v>
      </c>
      <c r="N303" s="372">
        <v>0</v>
      </c>
      <c r="O303" s="372">
        <v>0</v>
      </c>
      <c r="P303" s="372">
        <v>0</v>
      </c>
      <c r="Q303" s="372">
        <v>0</v>
      </c>
      <c r="R303" s="372">
        <v>0</v>
      </c>
      <c r="S303" s="372">
        <v>0</v>
      </c>
    </row>
    <row r="304" spans="1:19" ht="12.75">
      <c r="A304" s="369" t="s">
        <v>1763</v>
      </c>
      <c r="B304" s="369" t="s">
        <v>1705</v>
      </c>
      <c r="C304" s="369" t="s">
        <v>667</v>
      </c>
      <c r="D304" s="372">
        <v>1</v>
      </c>
      <c r="E304" s="372">
        <v>1</v>
      </c>
      <c r="F304" s="372">
        <v>0</v>
      </c>
      <c r="G304" s="372">
        <v>0</v>
      </c>
      <c r="H304" s="372">
        <v>0</v>
      </c>
      <c r="I304" s="372">
        <v>1</v>
      </c>
      <c r="J304" s="372">
        <v>1</v>
      </c>
      <c r="K304" s="372">
        <v>1</v>
      </c>
      <c r="L304" s="372">
        <v>1</v>
      </c>
      <c r="M304" s="372">
        <v>0</v>
      </c>
      <c r="N304" s="372">
        <v>1</v>
      </c>
      <c r="O304" s="372">
        <v>0</v>
      </c>
      <c r="P304" s="372">
        <v>1</v>
      </c>
      <c r="Q304" s="372">
        <v>0</v>
      </c>
      <c r="R304" s="372">
        <v>0</v>
      </c>
      <c r="S304" s="372">
        <v>0</v>
      </c>
    </row>
    <row r="305" spans="1:19" ht="12.75">
      <c r="A305" s="369" t="s">
        <v>2083</v>
      </c>
      <c r="B305" s="369" t="s">
        <v>1375</v>
      </c>
      <c r="C305" s="369" t="s">
        <v>668</v>
      </c>
      <c r="D305" s="372">
        <v>0</v>
      </c>
      <c r="E305" s="372">
        <v>0</v>
      </c>
      <c r="F305" s="372">
        <v>0</v>
      </c>
      <c r="G305" s="372">
        <v>0</v>
      </c>
      <c r="H305" s="372">
        <v>0</v>
      </c>
      <c r="I305" s="372">
        <v>0</v>
      </c>
      <c r="J305" s="372">
        <v>0</v>
      </c>
      <c r="K305" s="372">
        <v>0</v>
      </c>
      <c r="L305" s="372">
        <v>0</v>
      </c>
      <c r="M305" s="372">
        <v>0</v>
      </c>
      <c r="N305" s="372">
        <v>0</v>
      </c>
      <c r="O305" s="372">
        <v>0</v>
      </c>
      <c r="P305" s="372">
        <v>0</v>
      </c>
      <c r="Q305" s="372">
        <v>0</v>
      </c>
      <c r="R305" s="372">
        <v>0</v>
      </c>
      <c r="S305" s="372">
        <v>0</v>
      </c>
    </row>
    <row r="306" spans="1:19" ht="12.75">
      <c r="A306" s="369" t="s">
        <v>1511</v>
      </c>
      <c r="B306" s="369" t="s">
        <v>1726</v>
      </c>
      <c r="C306" s="369" t="s">
        <v>669</v>
      </c>
      <c r="D306" s="372">
        <v>0</v>
      </c>
      <c r="E306" s="372">
        <v>0</v>
      </c>
      <c r="F306" s="372">
        <v>0</v>
      </c>
      <c r="G306" s="372">
        <v>0</v>
      </c>
      <c r="H306" s="372">
        <v>0</v>
      </c>
      <c r="I306" s="372">
        <v>1</v>
      </c>
      <c r="J306" s="372">
        <v>1</v>
      </c>
      <c r="K306" s="372">
        <v>0</v>
      </c>
      <c r="L306" s="372">
        <v>0</v>
      </c>
      <c r="M306" s="372">
        <v>0</v>
      </c>
      <c r="N306" s="372">
        <v>0</v>
      </c>
      <c r="O306" s="372">
        <v>0</v>
      </c>
      <c r="P306" s="372">
        <v>1</v>
      </c>
      <c r="Q306" s="372">
        <v>1</v>
      </c>
      <c r="R306" s="372">
        <v>0</v>
      </c>
      <c r="S306" s="372">
        <v>0</v>
      </c>
    </row>
    <row r="307" spans="1:19" ht="12.75">
      <c r="A307" s="369" t="s">
        <v>363</v>
      </c>
      <c r="B307" s="369" t="s">
        <v>362</v>
      </c>
      <c r="C307" s="369" t="s">
        <v>670</v>
      </c>
      <c r="D307" s="372">
        <v>0</v>
      </c>
      <c r="E307" s="372">
        <v>0</v>
      </c>
      <c r="F307" s="372">
        <v>0</v>
      </c>
      <c r="G307" s="372">
        <v>0</v>
      </c>
      <c r="H307" s="372">
        <v>0</v>
      </c>
      <c r="I307" s="372">
        <v>0</v>
      </c>
      <c r="J307" s="372">
        <v>0</v>
      </c>
      <c r="K307" s="372">
        <v>0</v>
      </c>
      <c r="L307" s="372">
        <v>0</v>
      </c>
      <c r="M307" s="372">
        <v>0</v>
      </c>
      <c r="N307" s="372">
        <v>0</v>
      </c>
      <c r="O307" s="372">
        <v>0</v>
      </c>
      <c r="P307" s="372">
        <v>0</v>
      </c>
      <c r="Q307" s="372">
        <v>0</v>
      </c>
      <c r="R307" s="372">
        <v>0</v>
      </c>
      <c r="S307" s="372">
        <v>0</v>
      </c>
    </row>
    <row r="308" spans="1:19" ht="12.75">
      <c r="A308" s="369" t="s">
        <v>1922</v>
      </c>
      <c r="B308" s="369" t="s">
        <v>2298</v>
      </c>
      <c r="C308" s="369" t="s">
        <v>671</v>
      </c>
      <c r="D308" s="372">
        <v>0</v>
      </c>
      <c r="E308" s="372">
        <v>0</v>
      </c>
      <c r="F308" s="372">
        <v>0</v>
      </c>
      <c r="G308" s="372">
        <v>0</v>
      </c>
      <c r="H308" s="372">
        <v>0</v>
      </c>
      <c r="I308" s="372">
        <v>0</v>
      </c>
      <c r="J308" s="372">
        <v>0</v>
      </c>
      <c r="K308" s="372">
        <v>0</v>
      </c>
      <c r="L308" s="372">
        <v>0</v>
      </c>
      <c r="M308" s="372">
        <v>0</v>
      </c>
      <c r="N308" s="372">
        <v>0</v>
      </c>
      <c r="O308" s="372">
        <v>0</v>
      </c>
      <c r="P308" s="372">
        <v>0</v>
      </c>
      <c r="Q308" s="372">
        <v>0</v>
      </c>
      <c r="R308" s="372">
        <v>0</v>
      </c>
      <c r="S308" s="372">
        <v>0</v>
      </c>
    </row>
    <row r="309" spans="1:19" ht="12.75">
      <c r="A309" s="369" t="s">
        <v>1928</v>
      </c>
      <c r="B309" s="369" t="s">
        <v>1927</v>
      </c>
      <c r="C309" s="369" t="s">
        <v>672</v>
      </c>
      <c r="D309" s="372">
        <v>0</v>
      </c>
      <c r="E309" s="372">
        <v>0</v>
      </c>
      <c r="F309" s="372">
        <v>0</v>
      </c>
      <c r="G309" s="372">
        <v>0</v>
      </c>
      <c r="H309" s="372">
        <v>0</v>
      </c>
      <c r="I309" s="372">
        <v>0</v>
      </c>
      <c r="J309" s="372">
        <v>0</v>
      </c>
      <c r="K309" s="372">
        <v>0</v>
      </c>
      <c r="L309" s="372">
        <v>0</v>
      </c>
      <c r="M309" s="372">
        <v>0</v>
      </c>
      <c r="N309" s="372">
        <v>0</v>
      </c>
      <c r="O309" s="372">
        <v>0</v>
      </c>
      <c r="P309" s="372">
        <v>0</v>
      </c>
      <c r="Q309" s="372">
        <v>0</v>
      </c>
      <c r="R309" s="372">
        <v>0</v>
      </c>
      <c r="S309" s="372">
        <v>0</v>
      </c>
    </row>
    <row r="310" spans="1:19" ht="12.75">
      <c r="A310" s="369" t="s">
        <v>1512</v>
      </c>
      <c r="B310" s="369" t="s">
        <v>1727</v>
      </c>
      <c r="C310" s="369" t="s">
        <v>673</v>
      </c>
      <c r="D310" s="372">
        <v>0</v>
      </c>
      <c r="E310" s="372">
        <v>0</v>
      </c>
      <c r="F310" s="372">
        <v>0</v>
      </c>
      <c r="G310" s="372">
        <v>0</v>
      </c>
      <c r="H310" s="372">
        <v>0</v>
      </c>
      <c r="I310" s="372">
        <v>0</v>
      </c>
      <c r="J310" s="372">
        <v>0</v>
      </c>
      <c r="K310" s="372">
        <v>0</v>
      </c>
      <c r="L310" s="372">
        <v>0</v>
      </c>
      <c r="M310" s="372">
        <v>0</v>
      </c>
      <c r="N310" s="372">
        <v>0</v>
      </c>
      <c r="O310" s="372">
        <v>0</v>
      </c>
      <c r="P310" s="372">
        <v>0</v>
      </c>
      <c r="Q310" s="372">
        <v>0</v>
      </c>
      <c r="R310" s="372">
        <v>0</v>
      </c>
      <c r="S310" s="372">
        <v>0</v>
      </c>
    </row>
    <row r="311" spans="1:19" ht="12.75">
      <c r="A311" s="369" t="s">
        <v>2051</v>
      </c>
      <c r="B311" s="369" t="s">
        <v>1860</v>
      </c>
      <c r="C311" s="369" t="s">
        <v>674</v>
      </c>
      <c r="D311" s="372">
        <v>0</v>
      </c>
      <c r="E311" s="372">
        <v>1</v>
      </c>
      <c r="F311" s="372">
        <v>0</v>
      </c>
      <c r="G311" s="372">
        <v>0</v>
      </c>
      <c r="H311" s="372">
        <v>0</v>
      </c>
      <c r="I311" s="372">
        <v>0</v>
      </c>
      <c r="J311" s="372">
        <v>0</v>
      </c>
      <c r="K311" s="372">
        <v>1</v>
      </c>
      <c r="L311" s="372">
        <v>0</v>
      </c>
      <c r="M311" s="372">
        <v>1</v>
      </c>
      <c r="N311" s="372">
        <v>0</v>
      </c>
      <c r="O311" s="372">
        <v>0</v>
      </c>
      <c r="P311" s="372">
        <v>0</v>
      </c>
      <c r="Q311" s="372">
        <v>0</v>
      </c>
      <c r="R311" s="372">
        <v>1</v>
      </c>
      <c r="S311" s="372">
        <v>0</v>
      </c>
    </row>
    <row r="312" spans="1:19" ht="12.75">
      <c r="A312" s="369" t="s">
        <v>2052</v>
      </c>
      <c r="B312" s="369" t="s">
        <v>1376</v>
      </c>
      <c r="C312" s="369" t="s">
        <v>675</v>
      </c>
      <c r="D312" s="372">
        <v>0</v>
      </c>
      <c r="E312" s="372">
        <v>0</v>
      </c>
      <c r="F312" s="372">
        <v>0</v>
      </c>
      <c r="G312" s="372">
        <v>0</v>
      </c>
      <c r="H312" s="372">
        <v>0</v>
      </c>
      <c r="I312" s="372">
        <v>0</v>
      </c>
      <c r="J312" s="372">
        <v>0</v>
      </c>
      <c r="K312" s="372">
        <v>0</v>
      </c>
      <c r="L312" s="372">
        <v>0</v>
      </c>
      <c r="M312" s="372">
        <v>0</v>
      </c>
      <c r="N312" s="372">
        <v>0</v>
      </c>
      <c r="O312" s="372">
        <v>0</v>
      </c>
      <c r="P312" s="372">
        <v>0</v>
      </c>
      <c r="Q312" s="372">
        <v>0</v>
      </c>
      <c r="R312" s="372">
        <v>0</v>
      </c>
      <c r="S312" s="372">
        <v>0</v>
      </c>
    </row>
    <row r="313" spans="1:19" ht="12.75">
      <c r="A313" s="369" t="s">
        <v>92</v>
      </c>
      <c r="B313" s="369" t="s">
        <v>1840</v>
      </c>
      <c r="C313" s="369" t="s">
        <v>676</v>
      </c>
      <c r="D313" s="372">
        <v>0</v>
      </c>
      <c r="E313" s="372">
        <v>0</v>
      </c>
      <c r="F313" s="372">
        <v>0</v>
      </c>
      <c r="G313" s="372">
        <v>0</v>
      </c>
      <c r="H313" s="372">
        <v>0</v>
      </c>
      <c r="I313" s="372">
        <v>0</v>
      </c>
      <c r="J313" s="372">
        <v>0</v>
      </c>
      <c r="K313" s="372">
        <v>0</v>
      </c>
      <c r="L313" s="372">
        <v>0</v>
      </c>
      <c r="M313" s="372">
        <v>0</v>
      </c>
      <c r="N313" s="372">
        <v>0</v>
      </c>
      <c r="O313" s="372">
        <v>0</v>
      </c>
      <c r="P313" s="372">
        <v>0</v>
      </c>
      <c r="Q313" s="372">
        <v>0</v>
      </c>
      <c r="R313" s="372">
        <v>0</v>
      </c>
      <c r="S313" s="372">
        <v>0</v>
      </c>
    </row>
    <row r="314" spans="1:19" ht="12.75">
      <c r="A314" s="369" t="s">
        <v>1926</v>
      </c>
      <c r="B314" s="369" t="s">
        <v>1925</v>
      </c>
      <c r="C314" s="369" t="s">
        <v>677</v>
      </c>
      <c r="D314" s="372">
        <v>0</v>
      </c>
      <c r="E314" s="372">
        <v>0</v>
      </c>
      <c r="F314" s="372">
        <v>0</v>
      </c>
      <c r="G314" s="372">
        <v>0</v>
      </c>
      <c r="H314" s="372">
        <v>0</v>
      </c>
      <c r="I314" s="372">
        <v>0</v>
      </c>
      <c r="J314" s="372">
        <v>0</v>
      </c>
      <c r="K314" s="372">
        <v>0</v>
      </c>
      <c r="L314" s="372">
        <v>0</v>
      </c>
      <c r="M314" s="372">
        <v>0</v>
      </c>
      <c r="N314" s="372">
        <v>0</v>
      </c>
      <c r="O314" s="372">
        <v>0</v>
      </c>
      <c r="P314" s="372">
        <v>0</v>
      </c>
      <c r="Q314" s="372">
        <v>0</v>
      </c>
      <c r="R314" s="372">
        <v>0</v>
      </c>
      <c r="S314" s="372">
        <v>0</v>
      </c>
    </row>
    <row r="315" spans="1:19" ht="12.75">
      <c r="A315" s="369" t="s">
        <v>2069</v>
      </c>
      <c r="B315" s="369" t="s">
        <v>1640</v>
      </c>
      <c r="C315" s="369" t="s">
        <v>678</v>
      </c>
      <c r="D315" s="372">
        <v>1</v>
      </c>
      <c r="E315" s="372">
        <v>1</v>
      </c>
      <c r="F315" s="372">
        <v>0</v>
      </c>
      <c r="G315" s="372">
        <v>0</v>
      </c>
      <c r="H315" s="372">
        <v>0</v>
      </c>
      <c r="I315" s="372">
        <v>0</v>
      </c>
      <c r="J315" s="372">
        <v>1</v>
      </c>
      <c r="K315" s="372">
        <v>0</v>
      </c>
      <c r="L315" s="372">
        <v>0</v>
      </c>
      <c r="M315" s="372">
        <v>1</v>
      </c>
      <c r="N315" s="372">
        <v>0</v>
      </c>
      <c r="O315" s="372">
        <v>0</v>
      </c>
      <c r="P315" s="372">
        <v>1</v>
      </c>
      <c r="Q315" s="372">
        <v>1</v>
      </c>
      <c r="R315" s="372">
        <v>1</v>
      </c>
      <c r="S315" s="372">
        <v>0</v>
      </c>
    </row>
    <row r="316" spans="1:19" ht="12.75">
      <c r="A316" s="369" t="s">
        <v>93</v>
      </c>
      <c r="B316" s="369" t="s">
        <v>1728</v>
      </c>
      <c r="C316" s="369" t="s">
        <v>679</v>
      </c>
      <c r="D316" s="372">
        <v>0</v>
      </c>
      <c r="E316" s="372">
        <v>0</v>
      </c>
      <c r="F316" s="372">
        <v>0</v>
      </c>
      <c r="G316" s="372">
        <v>0</v>
      </c>
      <c r="H316" s="372">
        <v>0</v>
      </c>
      <c r="I316" s="372">
        <v>0</v>
      </c>
      <c r="J316" s="372">
        <v>0</v>
      </c>
      <c r="K316" s="372">
        <v>0</v>
      </c>
      <c r="L316" s="372">
        <v>0</v>
      </c>
      <c r="M316" s="372">
        <v>0</v>
      </c>
      <c r="N316" s="372">
        <v>0</v>
      </c>
      <c r="O316" s="372">
        <v>0</v>
      </c>
      <c r="P316" s="372">
        <v>0</v>
      </c>
      <c r="Q316" s="372">
        <v>0</v>
      </c>
      <c r="R316" s="372">
        <v>0</v>
      </c>
      <c r="S316" s="372">
        <v>0</v>
      </c>
    </row>
    <row r="317" spans="1:19" ht="12.75">
      <c r="A317" s="369" t="s">
        <v>1574</v>
      </c>
      <c r="B317" s="369" t="s">
        <v>18</v>
      </c>
      <c r="C317" s="369" t="s">
        <v>680</v>
      </c>
      <c r="D317" s="372">
        <v>0</v>
      </c>
      <c r="E317" s="372">
        <v>0</v>
      </c>
      <c r="F317" s="372">
        <v>0</v>
      </c>
      <c r="G317" s="372">
        <v>0</v>
      </c>
      <c r="H317" s="372">
        <v>0</v>
      </c>
      <c r="I317" s="372">
        <v>0</v>
      </c>
      <c r="J317" s="372">
        <v>0</v>
      </c>
      <c r="K317" s="372">
        <v>0</v>
      </c>
      <c r="L317" s="372">
        <v>0</v>
      </c>
      <c r="M317" s="372">
        <v>0</v>
      </c>
      <c r="N317" s="372">
        <v>0</v>
      </c>
      <c r="O317" s="372">
        <v>0</v>
      </c>
      <c r="P317" s="372">
        <v>0</v>
      </c>
      <c r="Q317" s="372">
        <v>0</v>
      </c>
      <c r="R317" s="372">
        <v>0</v>
      </c>
      <c r="S317" s="372">
        <v>0</v>
      </c>
    </row>
    <row r="318" spans="1:19" ht="12.75">
      <c r="A318" s="369" t="s">
        <v>1555</v>
      </c>
      <c r="B318" s="369" t="s">
        <v>1929</v>
      </c>
      <c r="C318" s="369" t="s">
        <v>681</v>
      </c>
      <c r="D318" s="372">
        <v>0</v>
      </c>
      <c r="E318" s="372">
        <v>0</v>
      </c>
      <c r="F318" s="372">
        <v>0</v>
      </c>
      <c r="G318" s="372">
        <v>0</v>
      </c>
      <c r="H318" s="372">
        <v>0</v>
      </c>
      <c r="I318" s="372">
        <v>0</v>
      </c>
      <c r="J318" s="372">
        <v>0</v>
      </c>
      <c r="K318" s="372">
        <v>0</v>
      </c>
      <c r="L318" s="372">
        <v>0</v>
      </c>
      <c r="M318" s="372">
        <v>0</v>
      </c>
      <c r="N318" s="372">
        <v>0</v>
      </c>
      <c r="O318" s="372">
        <v>0</v>
      </c>
      <c r="P318" s="372">
        <v>0</v>
      </c>
      <c r="Q318" s="372">
        <v>0</v>
      </c>
      <c r="R318" s="372">
        <v>0</v>
      </c>
      <c r="S318" s="372">
        <v>0</v>
      </c>
    </row>
    <row r="319" spans="1:19" ht="12.75">
      <c r="A319" s="369" t="s">
        <v>353</v>
      </c>
      <c r="B319" s="369" t="s">
        <v>1556</v>
      </c>
      <c r="C319" s="369" t="s">
        <v>682</v>
      </c>
      <c r="D319" s="372">
        <v>0</v>
      </c>
      <c r="E319" s="372">
        <v>0</v>
      </c>
      <c r="F319" s="372">
        <v>0</v>
      </c>
      <c r="G319" s="372">
        <v>0</v>
      </c>
      <c r="H319" s="372">
        <v>0</v>
      </c>
      <c r="I319" s="372">
        <v>0</v>
      </c>
      <c r="J319" s="372">
        <v>0</v>
      </c>
      <c r="K319" s="372">
        <v>0</v>
      </c>
      <c r="L319" s="372">
        <v>0</v>
      </c>
      <c r="M319" s="372">
        <v>0</v>
      </c>
      <c r="N319" s="372">
        <v>0</v>
      </c>
      <c r="O319" s="372">
        <v>0</v>
      </c>
      <c r="P319" s="372">
        <v>0</v>
      </c>
      <c r="Q319" s="372">
        <v>0</v>
      </c>
      <c r="R319" s="372">
        <v>0</v>
      </c>
      <c r="S319" s="372">
        <v>0</v>
      </c>
    </row>
    <row r="320" spans="1:19" ht="12.75">
      <c r="A320" s="369" t="s">
        <v>357</v>
      </c>
      <c r="B320" s="369" t="s">
        <v>356</v>
      </c>
      <c r="C320" s="369" t="s">
        <v>683</v>
      </c>
      <c r="D320" s="372">
        <v>0</v>
      </c>
      <c r="E320" s="372">
        <v>0</v>
      </c>
      <c r="F320" s="372">
        <v>0</v>
      </c>
      <c r="G320" s="372">
        <v>0</v>
      </c>
      <c r="H320" s="372">
        <v>0</v>
      </c>
      <c r="I320" s="372">
        <v>0</v>
      </c>
      <c r="J320" s="372">
        <v>0</v>
      </c>
      <c r="K320" s="372">
        <v>0</v>
      </c>
      <c r="L320" s="372">
        <v>0</v>
      </c>
      <c r="M320" s="372">
        <v>0</v>
      </c>
      <c r="N320" s="372">
        <v>0</v>
      </c>
      <c r="O320" s="372">
        <v>0</v>
      </c>
      <c r="P320" s="372">
        <v>0</v>
      </c>
      <c r="Q320" s="372">
        <v>0</v>
      </c>
      <c r="R320" s="372">
        <v>0</v>
      </c>
      <c r="S320" s="372">
        <v>0</v>
      </c>
    </row>
    <row r="321" spans="1:19" ht="12.75">
      <c r="A321" s="369" t="s">
        <v>361</v>
      </c>
      <c r="B321" s="369" t="s">
        <v>360</v>
      </c>
      <c r="C321" s="369" t="s">
        <v>684</v>
      </c>
      <c r="D321" s="372">
        <v>0</v>
      </c>
      <c r="E321" s="372">
        <v>0</v>
      </c>
      <c r="F321" s="372">
        <v>0</v>
      </c>
      <c r="G321" s="372">
        <v>0</v>
      </c>
      <c r="H321" s="372">
        <v>0</v>
      </c>
      <c r="I321" s="372">
        <v>0</v>
      </c>
      <c r="J321" s="372">
        <v>0</v>
      </c>
      <c r="K321" s="372">
        <v>0</v>
      </c>
      <c r="L321" s="372">
        <v>0</v>
      </c>
      <c r="M321" s="372">
        <v>0</v>
      </c>
      <c r="N321" s="372">
        <v>0</v>
      </c>
      <c r="O321" s="372">
        <v>0</v>
      </c>
      <c r="P321" s="372">
        <v>0</v>
      </c>
      <c r="Q321" s="372">
        <v>0</v>
      </c>
      <c r="R321" s="372">
        <v>0</v>
      </c>
      <c r="S321" s="372">
        <v>0</v>
      </c>
    </row>
    <row r="322" spans="1:19" ht="12.75">
      <c r="A322" s="369" t="s">
        <v>1509</v>
      </c>
      <c r="B322" s="369" t="s">
        <v>1510</v>
      </c>
      <c r="C322" s="369"/>
      <c r="D322" s="372">
        <v>0</v>
      </c>
      <c r="E322" s="372">
        <v>0</v>
      </c>
      <c r="F322" s="372">
        <v>0</v>
      </c>
      <c r="G322" s="372">
        <v>0</v>
      </c>
      <c r="H322" s="372">
        <v>0</v>
      </c>
      <c r="I322" s="372">
        <v>0</v>
      </c>
      <c r="J322" s="372">
        <v>0</v>
      </c>
      <c r="K322" s="372">
        <v>0</v>
      </c>
      <c r="L322" s="372">
        <v>0</v>
      </c>
      <c r="M322" s="372">
        <v>0</v>
      </c>
      <c r="N322" s="372">
        <v>0</v>
      </c>
      <c r="O322" s="372">
        <v>0</v>
      </c>
      <c r="P322" s="372">
        <v>0</v>
      </c>
      <c r="Q322" s="372">
        <v>0</v>
      </c>
      <c r="R322" s="372">
        <v>0</v>
      </c>
      <c r="S322" s="372">
        <v>0</v>
      </c>
    </row>
    <row r="323" spans="1:19" ht="12.75">
      <c r="A323" s="369" t="s">
        <v>365</v>
      </c>
      <c r="B323" s="369" t="s">
        <v>364</v>
      </c>
      <c r="C323" s="369" t="s">
        <v>685</v>
      </c>
      <c r="D323" s="372">
        <v>0</v>
      </c>
      <c r="E323" s="372">
        <v>0</v>
      </c>
      <c r="F323" s="372">
        <v>0</v>
      </c>
      <c r="G323" s="372">
        <v>0</v>
      </c>
      <c r="H323" s="372">
        <v>0</v>
      </c>
      <c r="I323" s="372">
        <v>0</v>
      </c>
      <c r="J323" s="372">
        <v>0</v>
      </c>
      <c r="K323" s="372">
        <v>0</v>
      </c>
      <c r="L323" s="372">
        <v>0</v>
      </c>
      <c r="M323" s="372">
        <v>0</v>
      </c>
      <c r="N323" s="372">
        <v>0</v>
      </c>
      <c r="O323" s="372">
        <v>0</v>
      </c>
      <c r="P323" s="372">
        <v>0</v>
      </c>
      <c r="Q323" s="372">
        <v>0</v>
      </c>
      <c r="R323" s="372">
        <v>0</v>
      </c>
      <c r="S323" s="372">
        <v>0</v>
      </c>
    </row>
    <row r="324" spans="1:19" ht="12.75">
      <c r="A324" s="369" t="s">
        <v>94</v>
      </c>
      <c r="B324" s="369" t="s">
        <v>1841</v>
      </c>
      <c r="C324" s="369" t="s">
        <v>686</v>
      </c>
      <c r="D324" s="372">
        <v>0</v>
      </c>
      <c r="E324" s="372">
        <v>0</v>
      </c>
      <c r="F324" s="372">
        <v>0</v>
      </c>
      <c r="G324" s="372">
        <v>0</v>
      </c>
      <c r="H324" s="372">
        <v>0</v>
      </c>
      <c r="I324" s="372">
        <v>0</v>
      </c>
      <c r="J324" s="372">
        <v>0</v>
      </c>
      <c r="K324" s="372">
        <v>0</v>
      </c>
      <c r="L324" s="372">
        <v>0</v>
      </c>
      <c r="M324" s="372">
        <v>0</v>
      </c>
      <c r="N324" s="372">
        <v>0</v>
      </c>
      <c r="O324" s="372">
        <v>0</v>
      </c>
      <c r="P324" s="372">
        <v>0</v>
      </c>
      <c r="Q324" s="372">
        <v>0</v>
      </c>
      <c r="R324" s="372">
        <v>0</v>
      </c>
      <c r="S324" s="372">
        <v>0</v>
      </c>
    </row>
    <row r="325" spans="1:19" ht="12.75">
      <c r="A325" s="369" t="s">
        <v>1575</v>
      </c>
      <c r="B325" s="369" t="s">
        <v>1576</v>
      </c>
      <c r="C325" s="369"/>
      <c r="D325" s="372">
        <v>0</v>
      </c>
      <c r="E325" s="372">
        <v>0</v>
      </c>
      <c r="F325" s="372">
        <v>0</v>
      </c>
      <c r="G325" s="372">
        <v>0</v>
      </c>
      <c r="H325" s="372">
        <v>0</v>
      </c>
      <c r="I325" s="372">
        <v>0</v>
      </c>
      <c r="J325" s="372">
        <v>0</v>
      </c>
      <c r="K325" s="372">
        <v>0</v>
      </c>
      <c r="L325" s="372">
        <v>0</v>
      </c>
      <c r="M325" s="372">
        <v>0</v>
      </c>
      <c r="N325" s="372">
        <v>0</v>
      </c>
      <c r="O325" s="372">
        <v>0</v>
      </c>
      <c r="P325" s="372">
        <v>0</v>
      </c>
      <c r="Q325" s="372">
        <v>0</v>
      </c>
      <c r="R325" s="372">
        <v>0</v>
      </c>
      <c r="S325" s="372">
        <v>0</v>
      </c>
    </row>
    <row r="326" spans="1:19" ht="12.75">
      <c r="A326" s="369" t="s">
        <v>2297</v>
      </c>
      <c r="B326" s="369" t="s">
        <v>210</v>
      </c>
      <c r="C326" s="369" t="s">
        <v>687</v>
      </c>
      <c r="D326" s="372">
        <v>0</v>
      </c>
      <c r="E326" s="372">
        <v>0</v>
      </c>
      <c r="F326" s="372">
        <v>0</v>
      </c>
      <c r="G326" s="372">
        <v>0</v>
      </c>
      <c r="H326" s="372">
        <v>0</v>
      </c>
      <c r="I326" s="372">
        <v>0</v>
      </c>
      <c r="J326" s="372">
        <v>0</v>
      </c>
      <c r="K326" s="372">
        <v>0</v>
      </c>
      <c r="L326" s="372">
        <v>0</v>
      </c>
      <c r="M326" s="372">
        <v>0</v>
      </c>
      <c r="N326" s="372">
        <v>0</v>
      </c>
      <c r="O326" s="372">
        <v>0</v>
      </c>
      <c r="P326" s="372">
        <v>0</v>
      </c>
      <c r="Q326" s="372">
        <v>0</v>
      </c>
      <c r="R326" s="372">
        <v>0</v>
      </c>
      <c r="S326" s="372">
        <v>0</v>
      </c>
    </row>
    <row r="327" spans="1:19" ht="12.75">
      <c r="A327" s="369" t="s">
        <v>95</v>
      </c>
      <c r="B327" s="369" t="s">
        <v>1729</v>
      </c>
      <c r="C327" s="369" t="s">
        <v>688</v>
      </c>
      <c r="D327" s="372">
        <v>1</v>
      </c>
      <c r="E327" s="372">
        <v>0</v>
      </c>
      <c r="F327" s="372">
        <v>0</v>
      </c>
      <c r="G327" s="372">
        <v>1</v>
      </c>
      <c r="H327" s="372">
        <v>1</v>
      </c>
      <c r="I327" s="372">
        <v>0</v>
      </c>
      <c r="J327" s="372">
        <v>1</v>
      </c>
      <c r="K327" s="372">
        <v>0</v>
      </c>
      <c r="L327" s="372">
        <v>0</v>
      </c>
      <c r="M327" s="372">
        <v>0</v>
      </c>
      <c r="N327" s="372">
        <v>0</v>
      </c>
      <c r="O327" s="372">
        <v>1</v>
      </c>
      <c r="P327" s="372">
        <v>0</v>
      </c>
      <c r="Q327" s="372">
        <v>0</v>
      </c>
      <c r="R327" s="372">
        <v>0</v>
      </c>
      <c r="S327" s="372">
        <v>0</v>
      </c>
    </row>
    <row r="328" spans="1:19" ht="12.75">
      <c r="A328" s="369" t="s">
        <v>324</v>
      </c>
      <c r="B328" s="369" t="s">
        <v>1842</v>
      </c>
      <c r="C328" s="369" t="s">
        <v>689</v>
      </c>
      <c r="D328" s="372">
        <v>0</v>
      </c>
      <c r="E328" s="372">
        <v>0</v>
      </c>
      <c r="F328" s="372">
        <v>0</v>
      </c>
      <c r="G328" s="372">
        <v>0</v>
      </c>
      <c r="H328" s="372">
        <v>0</v>
      </c>
      <c r="I328" s="372">
        <v>0</v>
      </c>
      <c r="J328" s="372">
        <v>0</v>
      </c>
      <c r="K328" s="372">
        <v>0</v>
      </c>
      <c r="L328" s="372">
        <v>0</v>
      </c>
      <c r="M328" s="372">
        <v>0</v>
      </c>
      <c r="N328" s="372">
        <v>0</v>
      </c>
      <c r="O328" s="372">
        <v>0</v>
      </c>
      <c r="P328" s="372">
        <v>0</v>
      </c>
      <c r="Q328" s="372">
        <v>0</v>
      </c>
      <c r="R328" s="372">
        <v>1</v>
      </c>
      <c r="S328" s="372">
        <v>0</v>
      </c>
    </row>
    <row r="329" spans="1:19" ht="12.75">
      <c r="A329" s="369" t="s">
        <v>2073</v>
      </c>
      <c r="B329" s="369" t="s">
        <v>366</v>
      </c>
      <c r="C329" s="369" t="s">
        <v>690</v>
      </c>
      <c r="D329" s="372">
        <v>0</v>
      </c>
      <c r="E329" s="372">
        <v>0</v>
      </c>
      <c r="F329" s="372">
        <v>0</v>
      </c>
      <c r="G329" s="372">
        <v>0</v>
      </c>
      <c r="H329" s="372">
        <v>0</v>
      </c>
      <c r="I329" s="372">
        <v>0</v>
      </c>
      <c r="J329" s="372">
        <v>0</v>
      </c>
      <c r="K329" s="372">
        <v>0</v>
      </c>
      <c r="L329" s="372">
        <v>0</v>
      </c>
      <c r="M329" s="372">
        <v>0</v>
      </c>
      <c r="N329" s="372">
        <v>0</v>
      </c>
      <c r="O329" s="372">
        <v>0</v>
      </c>
      <c r="P329" s="372">
        <v>0</v>
      </c>
      <c r="Q329" s="372">
        <v>0</v>
      </c>
      <c r="R329" s="372">
        <v>0</v>
      </c>
      <c r="S329" s="372">
        <v>0</v>
      </c>
    </row>
    <row r="330" spans="1:19" ht="12.75">
      <c r="A330" s="369" t="s">
        <v>325</v>
      </c>
      <c r="B330" s="369" t="s">
        <v>1836</v>
      </c>
      <c r="C330" s="369" t="s">
        <v>691</v>
      </c>
      <c r="D330" s="372">
        <v>0</v>
      </c>
      <c r="E330" s="372">
        <v>0</v>
      </c>
      <c r="F330" s="372">
        <v>0</v>
      </c>
      <c r="G330" s="372">
        <v>0</v>
      </c>
      <c r="H330" s="372">
        <v>0</v>
      </c>
      <c r="I330" s="372">
        <v>0</v>
      </c>
      <c r="J330" s="372">
        <v>0</v>
      </c>
      <c r="K330" s="372">
        <v>1</v>
      </c>
      <c r="L330" s="372">
        <v>0</v>
      </c>
      <c r="M330" s="372">
        <v>0</v>
      </c>
      <c r="N330" s="372">
        <v>0</v>
      </c>
      <c r="O330" s="372">
        <v>0</v>
      </c>
      <c r="P330" s="372">
        <v>0</v>
      </c>
      <c r="Q330" s="372">
        <v>0</v>
      </c>
      <c r="R330" s="372">
        <v>0</v>
      </c>
      <c r="S330" s="372">
        <v>0</v>
      </c>
    </row>
    <row r="331" spans="1:19" ht="12.75">
      <c r="A331" s="369" t="s">
        <v>2229</v>
      </c>
      <c r="B331" s="369" t="s">
        <v>2074</v>
      </c>
      <c r="C331" s="369" t="s">
        <v>692</v>
      </c>
      <c r="D331" s="372">
        <v>0</v>
      </c>
      <c r="E331" s="372">
        <v>0</v>
      </c>
      <c r="F331" s="372">
        <v>0</v>
      </c>
      <c r="G331" s="372">
        <v>0</v>
      </c>
      <c r="H331" s="372">
        <v>0</v>
      </c>
      <c r="I331" s="372">
        <v>0</v>
      </c>
      <c r="J331" s="372">
        <v>0</v>
      </c>
      <c r="K331" s="372">
        <v>0</v>
      </c>
      <c r="L331" s="372">
        <v>0</v>
      </c>
      <c r="M331" s="372">
        <v>0</v>
      </c>
      <c r="N331" s="372">
        <v>0</v>
      </c>
      <c r="O331" s="372">
        <v>0</v>
      </c>
      <c r="P331" s="372">
        <v>0</v>
      </c>
      <c r="Q331" s="372">
        <v>0</v>
      </c>
      <c r="R331" s="372">
        <v>0</v>
      </c>
      <c r="S331" s="372">
        <v>0</v>
      </c>
    </row>
    <row r="332" spans="1:19" ht="12.75">
      <c r="A332" s="369" t="s">
        <v>1594</v>
      </c>
      <c r="B332" s="369" t="s">
        <v>1595</v>
      </c>
      <c r="C332" s="369"/>
      <c r="D332" s="372">
        <v>0</v>
      </c>
      <c r="E332" s="372">
        <v>0</v>
      </c>
      <c r="F332" s="372">
        <v>0</v>
      </c>
      <c r="G332" s="372">
        <v>0</v>
      </c>
      <c r="H332" s="372">
        <v>0</v>
      </c>
      <c r="I332" s="372">
        <v>0</v>
      </c>
      <c r="J332" s="372">
        <v>0</v>
      </c>
      <c r="K332" s="372">
        <v>0</v>
      </c>
      <c r="L332" s="372">
        <v>0</v>
      </c>
      <c r="M332" s="372">
        <v>0</v>
      </c>
      <c r="N332" s="372">
        <v>0</v>
      </c>
      <c r="O332" s="372">
        <v>0</v>
      </c>
      <c r="P332" s="372">
        <v>0</v>
      </c>
      <c r="Q332" s="372">
        <v>0</v>
      </c>
      <c r="R332" s="372">
        <v>0</v>
      </c>
      <c r="S332" s="372">
        <v>0</v>
      </c>
    </row>
    <row r="333" spans="1:19" ht="12.75">
      <c r="A333" s="369" t="s">
        <v>1192</v>
      </c>
      <c r="B333" s="369" t="s">
        <v>1193</v>
      </c>
      <c r="C333" s="369" t="s">
        <v>693</v>
      </c>
      <c r="D333" s="372">
        <v>0</v>
      </c>
      <c r="E333" s="372">
        <v>0</v>
      </c>
      <c r="F333" s="372">
        <v>0</v>
      </c>
      <c r="G333" s="372">
        <v>0</v>
      </c>
      <c r="H333" s="372">
        <v>0</v>
      </c>
      <c r="I333" s="372">
        <v>0</v>
      </c>
      <c r="J333" s="372">
        <v>0</v>
      </c>
      <c r="K333" s="372">
        <v>0</v>
      </c>
      <c r="L333" s="372">
        <v>0</v>
      </c>
      <c r="M333" s="372">
        <v>0</v>
      </c>
      <c r="N333" s="372">
        <v>0</v>
      </c>
      <c r="O333" s="372">
        <v>0</v>
      </c>
      <c r="P333" s="372">
        <v>0</v>
      </c>
      <c r="Q333" s="372">
        <v>0</v>
      </c>
      <c r="R333" s="372">
        <v>0</v>
      </c>
      <c r="S333" s="372">
        <v>0</v>
      </c>
    </row>
    <row r="334" spans="1:19" ht="12.75">
      <c r="A334" s="369" t="s">
        <v>326</v>
      </c>
      <c r="B334" s="369" t="s">
        <v>44</v>
      </c>
      <c r="C334" s="369" t="s">
        <v>694</v>
      </c>
      <c r="D334" s="372">
        <v>1</v>
      </c>
      <c r="E334" s="372">
        <v>0</v>
      </c>
      <c r="F334" s="372">
        <v>0</v>
      </c>
      <c r="G334" s="372">
        <v>0</v>
      </c>
      <c r="H334" s="372">
        <v>0</v>
      </c>
      <c r="I334" s="372">
        <v>0</v>
      </c>
      <c r="J334" s="372">
        <v>0</v>
      </c>
      <c r="K334" s="372">
        <v>0</v>
      </c>
      <c r="L334" s="372">
        <v>0</v>
      </c>
      <c r="M334" s="372">
        <v>0</v>
      </c>
      <c r="N334" s="372">
        <v>0</v>
      </c>
      <c r="O334" s="372">
        <v>0</v>
      </c>
      <c r="P334" s="372">
        <v>0</v>
      </c>
      <c r="Q334" s="372">
        <v>0</v>
      </c>
      <c r="R334" s="372">
        <v>0</v>
      </c>
      <c r="S334" s="372">
        <v>0</v>
      </c>
    </row>
    <row r="335" spans="1:19" ht="12.75">
      <c r="A335" s="369" t="s">
        <v>1151</v>
      </c>
      <c r="B335" s="369" t="s">
        <v>2232</v>
      </c>
      <c r="C335" s="369" t="s">
        <v>695</v>
      </c>
      <c r="D335" s="372">
        <v>0</v>
      </c>
      <c r="E335" s="372">
        <v>0</v>
      </c>
      <c r="F335" s="372">
        <v>0</v>
      </c>
      <c r="G335" s="372">
        <v>0</v>
      </c>
      <c r="H335" s="372">
        <v>0</v>
      </c>
      <c r="I335" s="372">
        <v>0</v>
      </c>
      <c r="J335" s="372">
        <v>0</v>
      </c>
      <c r="K335" s="372">
        <v>0</v>
      </c>
      <c r="L335" s="372">
        <v>0</v>
      </c>
      <c r="M335" s="372">
        <v>0</v>
      </c>
      <c r="N335" s="372">
        <v>0</v>
      </c>
      <c r="O335" s="372">
        <v>0</v>
      </c>
      <c r="P335" s="372">
        <v>0</v>
      </c>
      <c r="Q335" s="372">
        <v>0</v>
      </c>
      <c r="R335" s="372">
        <v>0</v>
      </c>
      <c r="S335" s="372">
        <v>0</v>
      </c>
    </row>
    <row r="336" spans="1:19" ht="12.75">
      <c r="A336" s="369" t="s">
        <v>2231</v>
      </c>
      <c r="B336" s="369" t="s">
        <v>2230</v>
      </c>
      <c r="C336" s="369" t="s">
        <v>696</v>
      </c>
      <c r="D336" s="372">
        <v>0</v>
      </c>
      <c r="E336" s="372">
        <v>0</v>
      </c>
      <c r="F336" s="372">
        <v>0</v>
      </c>
      <c r="G336" s="372">
        <v>0</v>
      </c>
      <c r="H336" s="372">
        <v>0</v>
      </c>
      <c r="I336" s="372">
        <v>0</v>
      </c>
      <c r="J336" s="372">
        <v>0</v>
      </c>
      <c r="K336" s="372">
        <v>0</v>
      </c>
      <c r="L336" s="372">
        <v>0</v>
      </c>
      <c r="M336" s="372">
        <v>0</v>
      </c>
      <c r="N336" s="372">
        <v>0</v>
      </c>
      <c r="O336" s="372">
        <v>0</v>
      </c>
      <c r="P336" s="372">
        <v>0</v>
      </c>
      <c r="Q336" s="372">
        <v>0</v>
      </c>
      <c r="R336" s="372">
        <v>0</v>
      </c>
      <c r="S336" s="372">
        <v>0</v>
      </c>
    </row>
    <row r="337" spans="1:19" ht="12.75">
      <c r="A337" s="369" t="s">
        <v>327</v>
      </c>
      <c r="B337" s="369" t="s">
        <v>1642</v>
      </c>
      <c r="C337" s="369" t="s">
        <v>697</v>
      </c>
      <c r="D337" s="372">
        <v>0</v>
      </c>
      <c r="E337" s="372">
        <v>0</v>
      </c>
      <c r="F337" s="372">
        <v>0</v>
      </c>
      <c r="G337" s="372">
        <v>0</v>
      </c>
      <c r="H337" s="372">
        <v>0</v>
      </c>
      <c r="I337" s="372">
        <v>0</v>
      </c>
      <c r="J337" s="372">
        <v>0</v>
      </c>
      <c r="K337" s="372">
        <v>0</v>
      </c>
      <c r="L337" s="372">
        <v>0</v>
      </c>
      <c r="M337" s="372">
        <v>0</v>
      </c>
      <c r="N337" s="372">
        <v>0</v>
      </c>
      <c r="O337" s="372">
        <v>0</v>
      </c>
      <c r="P337" s="372">
        <v>0</v>
      </c>
      <c r="Q337" s="372">
        <v>0</v>
      </c>
      <c r="R337" s="372">
        <v>0</v>
      </c>
      <c r="S337" s="372">
        <v>0</v>
      </c>
    </row>
    <row r="338" spans="1:19" ht="12.75">
      <c r="A338" s="369" t="s">
        <v>328</v>
      </c>
      <c r="B338" s="369" t="s">
        <v>1307</v>
      </c>
      <c r="C338" s="369" t="s">
        <v>698</v>
      </c>
      <c r="D338" s="372">
        <v>0</v>
      </c>
      <c r="E338" s="372">
        <v>0</v>
      </c>
      <c r="F338" s="372">
        <v>0</v>
      </c>
      <c r="G338" s="372">
        <v>0</v>
      </c>
      <c r="H338" s="372">
        <v>0</v>
      </c>
      <c r="I338" s="372">
        <v>0</v>
      </c>
      <c r="J338" s="372">
        <v>0</v>
      </c>
      <c r="K338" s="372">
        <v>0</v>
      </c>
      <c r="L338" s="372">
        <v>0</v>
      </c>
      <c r="M338" s="372">
        <v>0</v>
      </c>
      <c r="N338" s="372">
        <v>0</v>
      </c>
      <c r="O338" s="372">
        <v>0</v>
      </c>
      <c r="P338" s="372">
        <v>0</v>
      </c>
      <c r="Q338" s="372">
        <v>0</v>
      </c>
      <c r="R338" s="372">
        <v>0</v>
      </c>
      <c r="S338" s="372">
        <v>0</v>
      </c>
    </row>
    <row r="339" spans="1:19" ht="12.75">
      <c r="A339" s="369" t="s">
        <v>2115</v>
      </c>
      <c r="B339" s="369" t="s">
        <v>1730</v>
      </c>
      <c r="C339" s="369" t="s">
        <v>699</v>
      </c>
      <c r="D339" s="372">
        <v>1</v>
      </c>
      <c r="E339" s="372">
        <v>1</v>
      </c>
      <c r="F339" s="372">
        <v>1</v>
      </c>
      <c r="G339" s="372">
        <v>1</v>
      </c>
      <c r="H339" s="372">
        <v>1</v>
      </c>
      <c r="I339" s="372">
        <v>1</v>
      </c>
      <c r="J339" s="372">
        <v>1</v>
      </c>
      <c r="K339" s="372">
        <v>1</v>
      </c>
      <c r="L339" s="372">
        <v>1</v>
      </c>
      <c r="M339" s="372">
        <v>1</v>
      </c>
      <c r="N339" s="372">
        <v>1</v>
      </c>
      <c r="O339" s="372">
        <v>1</v>
      </c>
      <c r="P339" s="372">
        <v>1</v>
      </c>
      <c r="Q339" s="372">
        <v>1</v>
      </c>
      <c r="R339" s="372">
        <v>1</v>
      </c>
      <c r="S339" s="372">
        <v>1</v>
      </c>
    </row>
    <row r="340" spans="1:19" ht="12.75">
      <c r="A340" s="369" t="s">
        <v>263</v>
      </c>
      <c r="B340" s="369" t="s">
        <v>1907</v>
      </c>
      <c r="C340" s="369" t="s">
        <v>700</v>
      </c>
      <c r="D340" s="372">
        <v>1</v>
      </c>
      <c r="E340" s="372">
        <v>0</v>
      </c>
      <c r="F340" s="372">
        <v>1</v>
      </c>
      <c r="G340" s="372">
        <v>0</v>
      </c>
      <c r="H340" s="372">
        <v>0</v>
      </c>
      <c r="I340" s="372">
        <v>0</v>
      </c>
      <c r="J340" s="372">
        <v>1</v>
      </c>
      <c r="K340" s="372">
        <v>1</v>
      </c>
      <c r="L340" s="372">
        <v>0</v>
      </c>
      <c r="M340" s="372">
        <v>0</v>
      </c>
      <c r="N340" s="372">
        <v>0</v>
      </c>
      <c r="O340" s="372">
        <v>0</v>
      </c>
      <c r="P340" s="372">
        <v>0</v>
      </c>
      <c r="Q340" s="372">
        <v>1</v>
      </c>
      <c r="R340" s="372">
        <v>0</v>
      </c>
      <c r="S340" s="372">
        <v>1</v>
      </c>
    </row>
    <row r="341" spans="1:19" ht="12.75">
      <c r="A341" s="369" t="s">
        <v>264</v>
      </c>
      <c r="B341" s="369" t="s">
        <v>1908</v>
      </c>
      <c r="C341" s="369" t="s">
        <v>701</v>
      </c>
      <c r="D341" s="372">
        <v>0</v>
      </c>
      <c r="E341" s="372">
        <v>1</v>
      </c>
      <c r="F341" s="372">
        <v>1</v>
      </c>
      <c r="G341" s="372">
        <v>1</v>
      </c>
      <c r="H341" s="372">
        <v>1</v>
      </c>
      <c r="I341" s="372">
        <v>0</v>
      </c>
      <c r="J341" s="372">
        <v>1</v>
      </c>
      <c r="K341" s="372">
        <v>1</v>
      </c>
      <c r="L341" s="372">
        <v>0</v>
      </c>
      <c r="M341" s="372">
        <v>0</v>
      </c>
      <c r="N341" s="372">
        <v>0</v>
      </c>
      <c r="O341" s="372">
        <v>1</v>
      </c>
      <c r="P341" s="372">
        <v>0</v>
      </c>
      <c r="Q341" s="372">
        <v>0</v>
      </c>
      <c r="R341" s="372">
        <v>0</v>
      </c>
      <c r="S341" s="372">
        <v>0</v>
      </c>
    </row>
    <row r="342" spans="1:19" ht="12.75">
      <c r="A342" s="369" t="s">
        <v>265</v>
      </c>
      <c r="B342" s="369" t="s">
        <v>1909</v>
      </c>
      <c r="C342" s="369" t="s">
        <v>702</v>
      </c>
      <c r="D342" s="372">
        <v>0</v>
      </c>
      <c r="E342" s="372">
        <v>1</v>
      </c>
      <c r="F342" s="372">
        <v>0</v>
      </c>
      <c r="G342" s="372">
        <v>0</v>
      </c>
      <c r="H342" s="372">
        <v>0</v>
      </c>
      <c r="I342" s="372">
        <v>0</v>
      </c>
      <c r="J342" s="372">
        <v>0</v>
      </c>
      <c r="K342" s="372">
        <v>0</v>
      </c>
      <c r="L342" s="372">
        <v>1</v>
      </c>
      <c r="M342" s="372">
        <v>1</v>
      </c>
      <c r="N342" s="372">
        <v>0</v>
      </c>
      <c r="O342" s="372">
        <v>0</v>
      </c>
      <c r="P342" s="372">
        <v>0</v>
      </c>
      <c r="Q342" s="372">
        <v>1</v>
      </c>
      <c r="R342" s="372">
        <v>0</v>
      </c>
      <c r="S342" s="372">
        <v>0</v>
      </c>
    </row>
    <row r="343" spans="1:19" ht="12.75">
      <c r="A343" s="369" t="s">
        <v>2001</v>
      </c>
      <c r="B343" s="369" t="s">
        <v>2000</v>
      </c>
      <c r="C343" s="369" t="s">
        <v>703</v>
      </c>
      <c r="D343" s="372">
        <v>0</v>
      </c>
      <c r="E343" s="372">
        <v>0</v>
      </c>
      <c r="F343" s="372">
        <v>0</v>
      </c>
      <c r="G343" s="372">
        <v>0</v>
      </c>
      <c r="H343" s="372">
        <v>0</v>
      </c>
      <c r="I343" s="372">
        <v>0</v>
      </c>
      <c r="J343" s="372">
        <v>0</v>
      </c>
      <c r="K343" s="372">
        <v>0</v>
      </c>
      <c r="L343" s="372">
        <v>0</v>
      </c>
      <c r="M343" s="372">
        <v>0</v>
      </c>
      <c r="N343" s="372">
        <v>0</v>
      </c>
      <c r="O343" s="372">
        <v>0</v>
      </c>
      <c r="P343" s="372">
        <v>0</v>
      </c>
      <c r="Q343" s="372">
        <v>0</v>
      </c>
      <c r="R343" s="372">
        <v>0</v>
      </c>
      <c r="S343" s="372">
        <v>0</v>
      </c>
    </row>
    <row r="344" spans="1:19" ht="12.75">
      <c r="A344" s="369" t="s">
        <v>2292</v>
      </c>
      <c r="B344" s="369" t="s">
        <v>1643</v>
      </c>
      <c r="C344" s="369" t="s">
        <v>704</v>
      </c>
      <c r="D344" s="372">
        <v>0</v>
      </c>
      <c r="E344" s="372">
        <v>0</v>
      </c>
      <c r="F344" s="372">
        <v>0</v>
      </c>
      <c r="G344" s="372">
        <v>0</v>
      </c>
      <c r="H344" s="372">
        <v>0</v>
      </c>
      <c r="I344" s="372">
        <v>0</v>
      </c>
      <c r="J344" s="372">
        <v>0</v>
      </c>
      <c r="K344" s="372">
        <v>0</v>
      </c>
      <c r="L344" s="372">
        <v>0</v>
      </c>
      <c r="M344" s="372">
        <v>0</v>
      </c>
      <c r="N344" s="372">
        <v>0</v>
      </c>
      <c r="O344" s="372">
        <v>0</v>
      </c>
      <c r="P344" s="372">
        <v>0</v>
      </c>
      <c r="Q344" s="372">
        <v>0</v>
      </c>
      <c r="R344" s="372">
        <v>1</v>
      </c>
      <c r="S344" s="372">
        <v>0</v>
      </c>
    </row>
    <row r="345" spans="1:19" ht="12.75">
      <c r="A345" s="369" t="s">
        <v>1194</v>
      </c>
      <c r="B345" s="369" t="s">
        <v>1644</v>
      </c>
      <c r="C345" s="369" t="s">
        <v>705</v>
      </c>
      <c r="D345" s="372">
        <v>0</v>
      </c>
      <c r="E345" s="372">
        <v>0</v>
      </c>
      <c r="F345" s="372">
        <v>0</v>
      </c>
      <c r="G345" s="372">
        <v>0</v>
      </c>
      <c r="H345" s="372">
        <v>0</v>
      </c>
      <c r="I345" s="372">
        <v>0</v>
      </c>
      <c r="J345" s="372">
        <v>0</v>
      </c>
      <c r="K345" s="372">
        <v>0</v>
      </c>
      <c r="L345" s="372">
        <v>0</v>
      </c>
      <c r="M345" s="372">
        <v>0</v>
      </c>
      <c r="N345" s="372">
        <v>0</v>
      </c>
      <c r="O345" s="372">
        <v>0</v>
      </c>
      <c r="P345" s="372">
        <v>0</v>
      </c>
      <c r="Q345" s="372">
        <v>0</v>
      </c>
      <c r="R345" s="372">
        <v>0</v>
      </c>
      <c r="S345" s="372">
        <v>0</v>
      </c>
    </row>
    <row r="346" spans="1:19" ht="12.75">
      <c r="A346" s="369" t="s">
        <v>1221</v>
      </c>
      <c r="B346" s="369" t="s">
        <v>1220</v>
      </c>
      <c r="C346" s="369" t="s">
        <v>706</v>
      </c>
      <c r="D346" s="372">
        <v>0</v>
      </c>
      <c r="E346" s="372">
        <v>0</v>
      </c>
      <c r="F346" s="372">
        <v>0</v>
      </c>
      <c r="G346" s="372">
        <v>0</v>
      </c>
      <c r="H346" s="372">
        <v>0</v>
      </c>
      <c r="I346" s="372">
        <v>0</v>
      </c>
      <c r="J346" s="372">
        <v>0</v>
      </c>
      <c r="K346" s="372">
        <v>0</v>
      </c>
      <c r="L346" s="372">
        <v>0</v>
      </c>
      <c r="M346" s="372">
        <v>0</v>
      </c>
      <c r="N346" s="372">
        <v>0</v>
      </c>
      <c r="O346" s="372">
        <v>0</v>
      </c>
      <c r="P346" s="372">
        <v>0</v>
      </c>
      <c r="Q346" s="372">
        <v>0</v>
      </c>
      <c r="R346" s="372">
        <v>0</v>
      </c>
      <c r="S346" s="372">
        <v>0</v>
      </c>
    </row>
    <row r="347" spans="1:19" ht="12.75">
      <c r="A347" s="369" t="s">
        <v>1596</v>
      </c>
      <c r="B347" s="369" t="s">
        <v>1597</v>
      </c>
      <c r="C347" s="369"/>
      <c r="D347" s="372">
        <v>0</v>
      </c>
      <c r="E347" s="372">
        <v>0</v>
      </c>
      <c r="F347" s="372">
        <v>0</v>
      </c>
      <c r="G347" s="372">
        <v>0</v>
      </c>
      <c r="H347" s="372">
        <v>0</v>
      </c>
      <c r="I347" s="372">
        <v>0</v>
      </c>
      <c r="J347" s="372">
        <v>0</v>
      </c>
      <c r="K347" s="372">
        <v>0</v>
      </c>
      <c r="L347" s="372">
        <v>0</v>
      </c>
      <c r="M347" s="372">
        <v>0</v>
      </c>
      <c r="N347" s="372">
        <v>0</v>
      </c>
      <c r="O347" s="372">
        <v>0</v>
      </c>
      <c r="P347" s="372">
        <v>0</v>
      </c>
      <c r="Q347" s="372">
        <v>0</v>
      </c>
      <c r="R347" s="372">
        <v>0</v>
      </c>
      <c r="S347" s="372">
        <v>0</v>
      </c>
    </row>
    <row r="348" spans="1:19" ht="12.75">
      <c r="A348" s="369" t="s">
        <v>1638</v>
      </c>
      <c r="B348" s="369" t="s">
        <v>1910</v>
      </c>
      <c r="C348" s="369" t="s">
        <v>707</v>
      </c>
      <c r="D348" s="372">
        <v>0</v>
      </c>
      <c r="E348" s="372">
        <v>0</v>
      </c>
      <c r="F348" s="372">
        <v>0</v>
      </c>
      <c r="G348" s="372">
        <v>0</v>
      </c>
      <c r="H348" s="372">
        <v>0</v>
      </c>
      <c r="I348" s="372">
        <v>0</v>
      </c>
      <c r="J348" s="372">
        <v>0</v>
      </c>
      <c r="K348" s="372">
        <v>0</v>
      </c>
      <c r="L348" s="372">
        <v>0</v>
      </c>
      <c r="M348" s="372">
        <v>0</v>
      </c>
      <c r="N348" s="372">
        <v>0</v>
      </c>
      <c r="O348" s="372">
        <v>0</v>
      </c>
      <c r="P348" s="372">
        <v>0</v>
      </c>
      <c r="Q348" s="372">
        <v>0</v>
      </c>
      <c r="R348" s="372">
        <v>0</v>
      </c>
      <c r="S348" s="372">
        <v>0</v>
      </c>
    </row>
    <row r="349" spans="1:19" ht="12.75">
      <c r="A349" s="369" t="s">
        <v>1598</v>
      </c>
      <c r="B349" s="369" t="s">
        <v>1599</v>
      </c>
      <c r="C349" s="369"/>
      <c r="D349" s="372">
        <v>0</v>
      </c>
      <c r="E349" s="372">
        <v>0</v>
      </c>
      <c r="F349" s="372">
        <v>0</v>
      </c>
      <c r="G349" s="372">
        <v>0</v>
      </c>
      <c r="H349" s="372">
        <v>0</v>
      </c>
      <c r="I349" s="372">
        <v>0</v>
      </c>
      <c r="J349" s="372">
        <v>0</v>
      </c>
      <c r="K349" s="372">
        <v>0</v>
      </c>
      <c r="L349" s="372">
        <v>0</v>
      </c>
      <c r="M349" s="372">
        <v>0</v>
      </c>
      <c r="N349" s="372">
        <v>0</v>
      </c>
      <c r="O349" s="372">
        <v>0</v>
      </c>
      <c r="P349" s="372">
        <v>0</v>
      </c>
      <c r="Q349" s="372">
        <v>0</v>
      </c>
      <c r="R349" s="372">
        <v>0</v>
      </c>
      <c r="S349" s="372">
        <v>0</v>
      </c>
    </row>
    <row r="350" spans="1:19" ht="12.75">
      <c r="A350" s="369" t="s">
        <v>1639</v>
      </c>
      <c r="B350" s="369" t="s">
        <v>1898</v>
      </c>
      <c r="C350" s="369" t="s">
        <v>708</v>
      </c>
      <c r="D350" s="372">
        <v>0</v>
      </c>
      <c r="E350" s="372">
        <v>0</v>
      </c>
      <c r="F350" s="372">
        <v>0</v>
      </c>
      <c r="G350" s="372">
        <v>1</v>
      </c>
      <c r="H350" s="372">
        <v>1</v>
      </c>
      <c r="I350" s="372">
        <v>0</v>
      </c>
      <c r="J350" s="372">
        <v>0</v>
      </c>
      <c r="K350" s="372">
        <v>0</v>
      </c>
      <c r="L350" s="372">
        <v>0</v>
      </c>
      <c r="M350" s="372">
        <v>0</v>
      </c>
      <c r="N350" s="372">
        <v>1</v>
      </c>
      <c r="O350" s="372">
        <v>0</v>
      </c>
      <c r="P350" s="372">
        <v>0</v>
      </c>
      <c r="Q350" s="372">
        <v>0</v>
      </c>
      <c r="R350" s="372">
        <v>0</v>
      </c>
      <c r="S350" s="372">
        <v>0</v>
      </c>
    </row>
    <row r="351" spans="1:19" ht="12.75">
      <c r="A351" s="369" t="s">
        <v>1627</v>
      </c>
      <c r="B351" s="369" t="s">
        <v>1911</v>
      </c>
      <c r="C351" s="369" t="s">
        <v>709</v>
      </c>
      <c r="D351" s="372">
        <v>1</v>
      </c>
      <c r="E351" s="372">
        <v>1</v>
      </c>
      <c r="F351" s="372">
        <v>0</v>
      </c>
      <c r="G351" s="372">
        <v>1</v>
      </c>
      <c r="H351" s="372">
        <v>1</v>
      </c>
      <c r="I351" s="372">
        <v>1</v>
      </c>
      <c r="J351" s="372">
        <v>1</v>
      </c>
      <c r="K351" s="372">
        <v>1</v>
      </c>
      <c r="L351" s="372">
        <v>1</v>
      </c>
      <c r="M351" s="372">
        <v>1</v>
      </c>
      <c r="N351" s="372">
        <v>1</v>
      </c>
      <c r="O351" s="372">
        <v>1</v>
      </c>
      <c r="P351" s="372">
        <v>1</v>
      </c>
      <c r="Q351" s="372">
        <v>0</v>
      </c>
      <c r="R351" s="372">
        <v>1</v>
      </c>
      <c r="S351" s="372">
        <v>1</v>
      </c>
    </row>
    <row r="352" spans="1:19" ht="12.75">
      <c r="A352" s="369" t="s">
        <v>1628</v>
      </c>
      <c r="B352" s="369" t="s">
        <v>1912</v>
      </c>
      <c r="C352" s="369" t="s">
        <v>710</v>
      </c>
      <c r="D352" s="372">
        <v>0</v>
      </c>
      <c r="E352" s="372">
        <v>0</v>
      </c>
      <c r="F352" s="372">
        <v>0</v>
      </c>
      <c r="G352" s="372">
        <v>0</v>
      </c>
      <c r="H352" s="372">
        <v>0</v>
      </c>
      <c r="I352" s="372">
        <v>0</v>
      </c>
      <c r="J352" s="372">
        <v>0</v>
      </c>
      <c r="K352" s="372">
        <v>0</v>
      </c>
      <c r="L352" s="372">
        <v>0</v>
      </c>
      <c r="M352" s="372">
        <v>0</v>
      </c>
      <c r="N352" s="372">
        <v>0</v>
      </c>
      <c r="O352" s="372">
        <v>0</v>
      </c>
      <c r="P352" s="372">
        <v>0</v>
      </c>
      <c r="Q352" s="372">
        <v>0</v>
      </c>
      <c r="R352" s="372">
        <v>0</v>
      </c>
      <c r="S352" s="372">
        <v>0</v>
      </c>
    </row>
    <row r="353" spans="1:19" ht="12.75">
      <c r="A353" s="369" t="s">
        <v>1654</v>
      </c>
      <c r="B353" s="369" t="s">
        <v>1222</v>
      </c>
      <c r="C353" s="369" t="s">
        <v>711</v>
      </c>
      <c r="D353" s="372">
        <v>0</v>
      </c>
      <c r="E353" s="372">
        <v>0</v>
      </c>
      <c r="F353" s="372">
        <v>0</v>
      </c>
      <c r="G353" s="372">
        <v>0</v>
      </c>
      <c r="H353" s="372">
        <v>0</v>
      </c>
      <c r="I353" s="372">
        <v>0</v>
      </c>
      <c r="J353" s="372">
        <v>0</v>
      </c>
      <c r="K353" s="372">
        <v>0</v>
      </c>
      <c r="L353" s="372">
        <v>0</v>
      </c>
      <c r="M353" s="372">
        <v>0</v>
      </c>
      <c r="N353" s="372">
        <v>0</v>
      </c>
      <c r="O353" s="372">
        <v>0</v>
      </c>
      <c r="P353" s="372">
        <v>0</v>
      </c>
      <c r="Q353" s="372">
        <v>0</v>
      </c>
      <c r="R353" s="372">
        <v>0</v>
      </c>
      <c r="S353" s="372">
        <v>0</v>
      </c>
    </row>
    <row r="354" spans="1:19" ht="12.75">
      <c r="A354" s="369" t="s">
        <v>350</v>
      </c>
      <c r="B354" s="369" t="s">
        <v>1655</v>
      </c>
      <c r="C354" s="369" t="s">
        <v>712</v>
      </c>
      <c r="D354" s="372">
        <v>0</v>
      </c>
      <c r="E354" s="372">
        <v>0</v>
      </c>
      <c r="F354" s="372">
        <v>0</v>
      </c>
      <c r="G354" s="372">
        <v>0</v>
      </c>
      <c r="H354" s="372">
        <v>0</v>
      </c>
      <c r="I354" s="372">
        <v>0</v>
      </c>
      <c r="J354" s="372">
        <v>0</v>
      </c>
      <c r="K354" s="372">
        <v>0</v>
      </c>
      <c r="L354" s="372">
        <v>0</v>
      </c>
      <c r="M354" s="372">
        <v>0</v>
      </c>
      <c r="N354" s="372">
        <v>0</v>
      </c>
      <c r="O354" s="372">
        <v>0</v>
      </c>
      <c r="P354" s="372">
        <v>0</v>
      </c>
      <c r="Q354" s="372">
        <v>0</v>
      </c>
      <c r="R354" s="372">
        <v>0</v>
      </c>
      <c r="S354" s="372">
        <v>0</v>
      </c>
    </row>
    <row r="355" spans="1:19" ht="12.75">
      <c r="A355" s="369" t="s">
        <v>164</v>
      </c>
      <c r="B355" s="369" t="s">
        <v>1913</v>
      </c>
      <c r="C355" s="369" t="s">
        <v>713</v>
      </c>
      <c r="D355" s="372">
        <v>1</v>
      </c>
      <c r="E355" s="372">
        <v>1</v>
      </c>
      <c r="F355" s="372">
        <v>0</v>
      </c>
      <c r="G355" s="372">
        <v>1</v>
      </c>
      <c r="H355" s="372">
        <v>1</v>
      </c>
      <c r="I355" s="372">
        <v>0</v>
      </c>
      <c r="J355" s="372">
        <v>0</v>
      </c>
      <c r="K355" s="372">
        <v>1</v>
      </c>
      <c r="L355" s="372">
        <v>0</v>
      </c>
      <c r="M355" s="372">
        <v>0</v>
      </c>
      <c r="N355" s="372">
        <v>0</v>
      </c>
      <c r="O355" s="372">
        <v>1</v>
      </c>
      <c r="P355" s="372">
        <v>0</v>
      </c>
      <c r="Q355" s="372">
        <v>0</v>
      </c>
      <c r="R355" s="372">
        <v>1</v>
      </c>
      <c r="S355" s="372">
        <v>1</v>
      </c>
    </row>
    <row r="356" spans="1:19" ht="12.75">
      <c r="A356" s="369" t="s">
        <v>1656</v>
      </c>
      <c r="B356" s="369" t="s">
        <v>1914</v>
      </c>
      <c r="C356" s="369" t="s">
        <v>714</v>
      </c>
      <c r="D356" s="372">
        <v>1</v>
      </c>
      <c r="E356" s="372">
        <v>0</v>
      </c>
      <c r="F356" s="372">
        <v>0</v>
      </c>
      <c r="G356" s="372">
        <v>0</v>
      </c>
      <c r="H356" s="372">
        <v>0</v>
      </c>
      <c r="I356" s="372">
        <v>0</v>
      </c>
      <c r="J356" s="372">
        <v>0</v>
      </c>
      <c r="K356" s="372">
        <v>0</v>
      </c>
      <c r="L356" s="372">
        <v>0</v>
      </c>
      <c r="M356" s="372">
        <v>0</v>
      </c>
      <c r="N356" s="372">
        <v>0</v>
      </c>
      <c r="O356" s="372">
        <v>0</v>
      </c>
      <c r="P356" s="372">
        <v>0</v>
      </c>
      <c r="Q356" s="372">
        <v>1</v>
      </c>
      <c r="R356" s="372">
        <v>0</v>
      </c>
      <c r="S356" s="372">
        <v>1</v>
      </c>
    </row>
    <row r="357" spans="1:19" ht="12.75">
      <c r="A357" s="369" t="s">
        <v>2107</v>
      </c>
      <c r="B357" s="369" t="s">
        <v>2106</v>
      </c>
      <c r="C357" s="369" t="s">
        <v>715</v>
      </c>
      <c r="D357" s="372">
        <v>0</v>
      </c>
      <c r="E357" s="372">
        <v>0</v>
      </c>
      <c r="F357" s="372">
        <v>0</v>
      </c>
      <c r="G357" s="372">
        <v>0</v>
      </c>
      <c r="H357" s="372">
        <v>0</v>
      </c>
      <c r="I357" s="372">
        <v>0</v>
      </c>
      <c r="J357" s="372">
        <v>0</v>
      </c>
      <c r="K357" s="372">
        <v>0</v>
      </c>
      <c r="L357" s="372">
        <v>0</v>
      </c>
      <c r="M357" s="372">
        <v>0</v>
      </c>
      <c r="N357" s="372">
        <v>0</v>
      </c>
      <c r="O357" s="372">
        <v>0</v>
      </c>
      <c r="P357" s="372">
        <v>0</v>
      </c>
      <c r="Q357" s="372">
        <v>0</v>
      </c>
      <c r="R357" s="372">
        <v>0</v>
      </c>
      <c r="S357" s="372">
        <v>0</v>
      </c>
    </row>
    <row r="358" spans="1:19" ht="12.75">
      <c r="A358" s="369" t="s">
        <v>2105</v>
      </c>
      <c r="B358" s="369" t="s">
        <v>1915</v>
      </c>
      <c r="C358" s="369" t="s">
        <v>716</v>
      </c>
      <c r="D358" s="372">
        <v>0</v>
      </c>
      <c r="E358" s="372">
        <v>0</v>
      </c>
      <c r="F358" s="372">
        <v>0</v>
      </c>
      <c r="G358" s="372">
        <v>0</v>
      </c>
      <c r="H358" s="372">
        <v>0</v>
      </c>
      <c r="I358" s="372">
        <v>0</v>
      </c>
      <c r="J358" s="372">
        <v>0</v>
      </c>
      <c r="K358" s="372">
        <v>0</v>
      </c>
      <c r="L358" s="372">
        <v>1</v>
      </c>
      <c r="M358" s="372">
        <v>0</v>
      </c>
      <c r="N358" s="372">
        <v>0</v>
      </c>
      <c r="O358" s="372">
        <v>0</v>
      </c>
      <c r="P358" s="372">
        <v>0</v>
      </c>
      <c r="Q358" s="372">
        <v>0</v>
      </c>
      <c r="R358" s="372">
        <v>0</v>
      </c>
      <c r="S358" s="372">
        <v>0</v>
      </c>
    </row>
    <row r="359" spans="1:19" ht="12.75">
      <c r="A359" s="369" t="s">
        <v>218</v>
      </c>
      <c r="B359" s="369" t="s">
        <v>1916</v>
      </c>
      <c r="C359" s="369" t="s">
        <v>717</v>
      </c>
      <c r="D359" s="372">
        <v>0</v>
      </c>
      <c r="E359" s="372">
        <v>0</v>
      </c>
      <c r="F359" s="372">
        <v>0</v>
      </c>
      <c r="G359" s="372">
        <v>1</v>
      </c>
      <c r="H359" s="372">
        <v>0</v>
      </c>
      <c r="I359" s="372">
        <v>0</v>
      </c>
      <c r="J359" s="372">
        <v>0</v>
      </c>
      <c r="K359" s="372">
        <v>0</v>
      </c>
      <c r="L359" s="372">
        <v>0</v>
      </c>
      <c r="M359" s="372">
        <v>0</v>
      </c>
      <c r="N359" s="372">
        <v>0</v>
      </c>
      <c r="O359" s="372">
        <v>0</v>
      </c>
      <c r="P359" s="372">
        <v>0</v>
      </c>
      <c r="Q359" s="372">
        <v>0</v>
      </c>
      <c r="R359" s="372">
        <v>0</v>
      </c>
      <c r="S359" s="372">
        <v>0</v>
      </c>
    </row>
    <row r="360" spans="1:19" ht="12.75">
      <c r="A360" s="369" t="s">
        <v>352</v>
      </c>
      <c r="B360" s="369" t="s">
        <v>351</v>
      </c>
      <c r="C360" s="369" t="s">
        <v>718</v>
      </c>
      <c r="D360" s="372">
        <v>0</v>
      </c>
      <c r="E360" s="372">
        <v>0</v>
      </c>
      <c r="F360" s="372">
        <v>0</v>
      </c>
      <c r="G360" s="372">
        <v>0</v>
      </c>
      <c r="H360" s="372">
        <v>0</v>
      </c>
      <c r="I360" s="372">
        <v>0</v>
      </c>
      <c r="J360" s="372">
        <v>0</v>
      </c>
      <c r="K360" s="372">
        <v>0</v>
      </c>
      <c r="L360" s="372">
        <v>0</v>
      </c>
      <c r="M360" s="372">
        <v>0</v>
      </c>
      <c r="N360" s="372">
        <v>0</v>
      </c>
      <c r="O360" s="372">
        <v>0</v>
      </c>
      <c r="P360" s="372">
        <v>0</v>
      </c>
      <c r="Q360" s="372">
        <v>0</v>
      </c>
      <c r="R360" s="372">
        <v>0</v>
      </c>
      <c r="S360" s="372">
        <v>0</v>
      </c>
    </row>
    <row r="361" spans="1:19" ht="12.75">
      <c r="A361" s="369" t="s">
        <v>355</v>
      </c>
      <c r="B361" s="369" t="s">
        <v>354</v>
      </c>
      <c r="C361" s="369" t="s">
        <v>719</v>
      </c>
      <c r="D361" s="372">
        <v>0</v>
      </c>
      <c r="E361" s="372">
        <v>0</v>
      </c>
      <c r="F361" s="372">
        <v>0</v>
      </c>
      <c r="G361" s="372">
        <v>0</v>
      </c>
      <c r="H361" s="372">
        <v>0</v>
      </c>
      <c r="I361" s="372">
        <v>0</v>
      </c>
      <c r="J361" s="372">
        <v>0</v>
      </c>
      <c r="K361" s="372">
        <v>0</v>
      </c>
      <c r="L361" s="372">
        <v>0</v>
      </c>
      <c r="M361" s="372">
        <v>0</v>
      </c>
      <c r="N361" s="372">
        <v>0</v>
      </c>
      <c r="O361" s="372">
        <v>0</v>
      </c>
      <c r="P361" s="372">
        <v>0</v>
      </c>
      <c r="Q361" s="372">
        <v>0</v>
      </c>
      <c r="R361" s="372">
        <v>0</v>
      </c>
      <c r="S361" s="372">
        <v>0</v>
      </c>
    </row>
    <row r="362" spans="1:19" ht="12.75">
      <c r="A362" s="369" t="s">
        <v>2318</v>
      </c>
      <c r="B362" s="369" t="s">
        <v>2242</v>
      </c>
      <c r="C362" s="369" t="s">
        <v>720</v>
      </c>
      <c r="D362" s="372">
        <v>0</v>
      </c>
      <c r="E362" s="372">
        <v>0</v>
      </c>
      <c r="F362" s="372">
        <v>0</v>
      </c>
      <c r="G362" s="372">
        <v>0</v>
      </c>
      <c r="H362" s="372">
        <v>0</v>
      </c>
      <c r="I362" s="372">
        <v>0</v>
      </c>
      <c r="J362" s="372">
        <v>0</v>
      </c>
      <c r="K362" s="372">
        <v>0</v>
      </c>
      <c r="L362" s="372">
        <v>0</v>
      </c>
      <c r="M362" s="372">
        <v>0</v>
      </c>
      <c r="N362" s="372">
        <v>0</v>
      </c>
      <c r="O362" s="372">
        <v>0</v>
      </c>
      <c r="P362" s="372">
        <v>0</v>
      </c>
      <c r="Q362" s="372">
        <v>0</v>
      </c>
      <c r="R362" s="372">
        <v>0</v>
      </c>
      <c r="S362" s="372">
        <v>0</v>
      </c>
    </row>
    <row r="363" spans="1:19" ht="12.75">
      <c r="A363" s="369" t="s">
        <v>219</v>
      </c>
      <c r="B363" s="369" t="s">
        <v>104</v>
      </c>
      <c r="C363" s="369" t="s">
        <v>721</v>
      </c>
      <c r="D363" s="372">
        <v>0</v>
      </c>
      <c r="E363" s="372">
        <v>0</v>
      </c>
      <c r="F363" s="372">
        <v>0</v>
      </c>
      <c r="G363" s="372">
        <v>0</v>
      </c>
      <c r="H363" s="372">
        <v>0</v>
      </c>
      <c r="I363" s="372">
        <v>0</v>
      </c>
      <c r="J363" s="372">
        <v>0</v>
      </c>
      <c r="K363" s="372">
        <v>0</v>
      </c>
      <c r="L363" s="372">
        <v>0</v>
      </c>
      <c r="M363" s="372">
        <v>0</v>
      </c>
      <c r="N363" s="372">
        <v>0</v>
      </c>
      <c r="O363" s="372">
        <v>0</v>
      </c>
      <c r="P363" s="372">
        <v>0</v>
      </c>
      <c r="Q363" s="372">
        <v>0</v>
      </c>
      <c r="R363" s="372">
        <v>0</v>
      </c>
      <c r="S363" s="372">
        <v>0</v>
      </c>
    </row>
    <row r="364" spans="1:19" ht="12.75">
      <c r="A364" s="369" t="s">
        <v>2109</v>
      </c>
      <c r="B364" s="369" t="s">
        <v>2108</v>
      </c>
      <c r="C364" s="369" t="s">
        <v>722</v>
      </c>
      <c r="D364" s="372">
        <v>0</v>
      </c>
      <c r="E364" s="372">
        <v>0</v>
      </c>
      <c r="F364" s="372">
        <v>0</v>
      </c>
      <c r="G364" s="372">
        <v>0</v>
      </c>
      <c r="H364" s="372">
        <v>0</v>
      </c>
      <c r="I364" s="372">
        <v>0</v>
      </c>
      <c r="J364" s="372">
        <v>0</v>
      </c>
      <c r="K364" s="372">
        <v>0</v>
      </c>
      <c r="L364" s="372">
        <v>0</v>
      </c>
      <c r="M364" s="372">
        <v>0</v>
      </c>
      <c r="N364" s="372">
        <v>0</v>
      </c>
      <c r="O364" s="372">
        <v>0</v>
      </c>
      <c r="P364" s="372">
        <v>0</v>
      </c>
      <c r="Q364" s="372">
        <v>0</v>
      </c>
      <c r="R364" s="372">
        <v>0</v>
      </c>
      <c r="S364" s="372">
        <v>0</v>
      </c>
    </row>
    <row r="365" spans="1:19" ht="12.75">
      <c r="A365" s="369" t="s">
        <v>220</v>
      </c>
      <c r="B365" s="369" t="s">
        <v>1917</v>
      </c>
      <c r="C365" s="369" t="s">
        <v>723</v>
      </c>
      <c r="D365" s="372">
        <v>1</v>
      </c>
      <c r="E365" s="372">
        <v>1</v>
      </c>
      <c r="F365" s="372">
        <v>0</v>
      </c>
      <c r="G365" s="372">
        <v>1</v>
      </c>
      <c r="H365" s="372">
        <v>1</v>
      </c>
      <c r="I365" s="372">
        <v>1</v>
      </c>
      <c r="J365" s="372">
        <v>1</v>
      </c>
      <c r="K365" s="372">
        <v>0</v>
      </c>
      <c r="L365" s="372">
        <v>1</v>
      </c>
      <c r="M365" s="372">
        <v>1</v>
      </c>
      <c r="N365" s="372">
        <v>0</v>
      </c>
      <c r="O365" s="372">
        <v>1</v>
      </c>
      <c r="P365" s="372">
        <v>1</v>
      </c>
      <c r="Q365" s="372">
        <v>0</v>
      </c>
      <c r="R365" s="372">
        <v>1</v>
      </c>
      <c r="S365" s="372">
        <v>1</v>
      </c>
    </row>
    <row r="366" spans="1:19" ht="12.75">
      <c r="A366" s="369" t="s">
        <v>2037</v>
      </c>
      <c r="B366" s="369" t="s">
        <v>1541</v>
      </c>
      <c r="C366" s="369" t="s">
        <v>724</v>
      </c>
      <c r="D366" s="372">
        <v>0</v>
      </c>
      <c r="E366" s="372">
        <v>0</v>
      </c>
      <c r="F366" s="372">
        <v>0</v>
      </c>
      <c r="G366" s="372">
        <v>0</v>
      </c>
      <c r="H366" s="372">
        <v>0</v>
      </c>
      <c r="I366" s="372">
        <v>0</v>
      </c>
      <c r="J366" s="372">
        <v>0</v>
      </c>
      <c r="K366" s="372">
        <v>0</v>
      </c>
      <c r="L366" s="372">
        <v>0</v>
      </c>
      <c r="M366" s="372">
        <v>0</v>
      </c>
      <c r="N366" s="372">
        <v>0</v>
      </c>
      <c r="O366" s="372">
        <v>0</v>
      </c>
      <c r="P366" s="372">
        <v>0</v>
      </c>
      <c r="Q366" s="372">
        <v>0</v>
      </c>
      <c r="R366" s="372">
        <v>1</v>
      </c>
      <c r="S366" s="372">
        <v>0</v>
      </c>
    </row>
    <row r="367" spans="1:19" ht="12.75">
      <c r="A367" s="369" t="s">
        <v>244</v>
      </c>
      <c r="B367" s="369" t="s">
        <v>2056</v>
      </c>
      <c r="C367" s="369" t="s">
        <v>725</v>
      </c>
      <c r="D367" s="372">
        <v>0</v>
      </c>
      <c r="E367" s="372">
        <v>0</v>
      </c>
      <c r="F367" s="372">
        <v>0</v>
      </c>
      <c r="G367" s="372">
        <v>0</v>
      </c>
      <c r="H367" s="372">
        <v>0</v>
      </c>
      <c r="I367" s="372">
        <v>1</v>
      </c>
      <c r="J367" s="372">
        <v>1</v>
      </c>
      <c r="K367" s="372">
        <v>0</v>
      </c>
      <c r="L367" s="372">
        <v>0</v>
      </c>
      <c r="M367" s="372">
        <v>0</v>
      </c>
      <c r="N367" s="372">
        <v>0</v>
      </c>
      <c r="O367" s="372">
        <v>0</v>
      </c>
      <c r="P367" s="372">
        <v>0</v>
      </c>
      <c r="Q367" s="372">
        <v>0</v>
      </c>
      <c r="R367" s="372">
        <v>0</v>
      </c>
      <c r="S367" s="372">
        <v>0</v>
      </c>
    </row>
    <row r="368" spans="1:19" ht="12.75">
      <c r="A368" s="369" t="s">
        <v>1972</v>
      </c>
      <c r="B368" s="369" t="s">
        <v>1971</v>
      </c>
      <c r="C368" s="369" t="s">
        <v>726</v>
      </c>
      <c r="D368" s="372">
        <v>0</v>
      </c>
      <c r="E368" s="372">
        <v>0</v>
      </c>
      <c r="F368" s="372">
        <v>0</v>
      </c>
      <c r="G368" s="372">
        <v>0</v>
      </c>
      <c r="H368" s="372">
        <v>0</v>
      </c>
      <c r="I368" s="372">
        <v>0</v>
      </c>
      <c r="J368" s="372">
        <v>0</v>
      </c>
      <c r="K368" s="372">
        <v>0</v>
      </c>
      <c r="L368" s="372">
        <v>0</v>
      </c>
      <c r="M368" s="372">
        <v>0</v>
      </c>
      <c r="N368" s="372">
        <v>0</v>
      </c>
      <c r="O368" s="372">
        <v>0</v>
      </c>
      <c r="P368" s="372">
        <v>0</v>
      </c>
      <c r="Q368" s="372">
        <v>0</v>
      </c>
      <c r="R368" s="372">
        <v>0</v>
      </c>
      <c r="S368" s="372">
        <v>0</v>
      </c>
    </row>
    <row r="369" spans="1:19" ht="12.75">
      <c r="A369" s="369" t="s">
        <v>1540</v>
      </c>
      <c r="B369" s="369" t="s">
        <v>1973</v>
      </c>
      <c r="C369" s="369"/>
      <c r="D369" s="372">
        <v>0</v>
      </c>
      <c r="E369" s="372">
        <v>0</v>
      </c>
      <c r="F369" s="372">
        <v>0</v>
      </c>
      <c r="G369" s="372">
        <v>0</v>
      </c>
      <c r="H369" s="372">
        <v>0</v>
      </c>
      <c r="I369" s="372">
        <v>0</v>
      </c>
      <c r="J369" s="372">
        <v>0</v>
      </c>
      <c r="K369" s="372">
        <v>0</v>
      </c>
      <c r="L369" s="372">
        <v>0</v>
      </c>
      <c r="M369" s="372">
        <v>0</v>
      </c>
      <c r="N369" s="372">
        <v>0</v>
      </c>
      <c r="O369" s="372">
        <v>0</v>
      </c>
      <c r="P369" s="372">
        <v>0</v>
      </c>
      <c r="Q369" s="372">
        <v>0</v>
      </c>
      <c r="R369" s="372">
        <v>0</v>
      </c>
      <c r="S369" s="372">
        <v>0</v>
      </c>
    </row>
    <row r="370" spans="1:19" ht="12.75">
      <c r="A370" s="369" t="s">
        <v>245</v>
      </c>
      <c r="B370" s="369" t="s">
        <v>2038</v>
      </c>
      <c r="C370" s="369" t="s">
        <v>727</v>
      </c>
      <c r="D370" s="372">
        <v>0</v>
      </c>
      <c r="E370" s="372">
        <v>0</v>
      </c>
      <c r="F370" s="372">
        <v>0</v>
      </c>
      <c r="G370" s="372">
        <v>0</v>
      </c>
      <c r="H370" s="372">
        <v>0</v>
      </c>
      <c r="I370" s="372">
        <v>0</v>
      </c>
      <c r="J370" s="372">
        <v>0</v>
      </c>
      <c r="K370" s="372">
        <v>1</v>
      </c>
      <c r="L370" s="372">
        <v>0</v>
      </c>
      <c r="M370" s="372">
        <v>0</v>
      </c>
      <c r="N370" s="372">
        <v>1</v>
      </c>
      <c r="O370" s="372">
        <v>0</v>
      </c>
      <c r="P370" s="372">
        <v>0</v>
      </c>
      <c r="Q370" s="372">
        <v>0</v>
      </c>
      <c r="R370" s="372">
        <v>0</v>
      </c>
      <c r="S370" s="372">
        <v>0</v>
      </c>
    </row>
    <row r="371" spans="1:19" ht="12.75">
      <c r="A371" s="369" t="s">
        <v>246</v>
      </c>
      <c r="B371" s="369" t="s">
        <v>2039</v>
      </c>
      <c r="C371" s="369" t="s">
        <v>728</v>
      </c>
      <c r="D371" s="372">
        <v>0</v>
      </c>
      <c r="E371" s="372">
        <v>0</v>
      </c>
      <c r="F371" s="372">
        <v>0</v>
      </c>
      <c r="G371" s="372">
        <v>1</v>
      </c>
      <c r="H371" s="372">
        <v>1</v>
      </c>
      <c r="I371" s="372">
        <v>0</v>
      </c>
      <c r="J371" s="372">
        <v>0</v>
      </c>
      <c r="K371" s="372">
        <v>0</v>
      </c>
      <c r="L371" s="372">
        <v>0</v>
      </c>
      <c r="M371" s="372">
        <v>0</v>
      </c>
      <c r="N371" s="372">
        <v>0</v>
      </c>
      <c r="O371" s="372">
        <v>1</v>
      </c>
      <c r="P371" s="372">
        <v>0</v>
      </c>
      <c r="Q371" s="372">
        <v>0</v>
      </c>
      <c r="R371" s="372">
        <v>1</v>
      </c>
      <c r="S371" s="372">
        <v>0</v>
      </c>
    </row>
    <row r="372" spans="1:19" ht="12.75">
      <c r="A372" s="369" t="s">
        <v>1949</v>
      </c>
      <c r="B372" s="369" t="s">
        <v>252</v>
      </c>
      <c r="C372" s="369" t="s">
        <v>729</v>
      </c>
      <c r="D372" s="372">
        <v>0</v>
      </c>
      <c r="E372" s="372">
        <v>0</v>
      </c>
      <c r="F372" s="372">
        <v>0</v>
      </c>
      <c r="G372" s="372">
        <v>0</v>
      </c>
      <c r="H372" s="372">
        <v>0</v>
      </c>
      <c r="I372" s="372">
        <v>0</v>
      </c>
      <c r="J372" s="372">
        <v>0</v>
      </c>
      <c r="K372" s="372">
        <v>0</v>
      </c>
      <c r="L372" s="372">
        <v>0</v>
      </c>
      <c r="M372" s="372">
        <v>0</v>
      </c>
      <c r="N372" s="372">
        <v>0</v>
      </c>
      <c r="O372" s="372">
        <v>0</v>
      </c>
      <c r="P372" s="372">
        <v>0</v>
      </c>
      <c r="Q372" s="372">
        <v>0</v>
      </c>
      <c r="R372" s="372">
        <v>0</v>
      </c>
      <c r="S372" s="372">
        <v>0</v>
      </c>
    </row>
    <row r="373" spans="1:19" ht="12.75">
      <c r="A373" s="369" t="s">
        <v>286</v>
      </c>
      <c r="B373" s="369" t="s">
        <v>1452</v>
      </c>
      <c r="C373" s="369" t="s">
        <v>730</v>
      </c>
      <c r="D373" s="372">
        <v>0</v>
      </c>
      <c r="E373" s="372">
        <v>0</v>
      </c>
      <c r="F373" s="372">
        <v>0</v>
      </c>
      <c r="G373" s="372">
        <v>0</v>
      </c>
      <c r="H373" s="372">
        <v>0</v>
      </c>
      <c r="I373" s="372">
        <v>0</v>
      </c>
      <c r="J373" s="372">
        <v>0</v>
      </c>
      <c r="K373" s="372">
        <v>0</v>
      </c>
      <c r="L373" s="372">
        <v>0</v>
      </c>
      <c r="M373" s="372">
        <v>0</v>
      </c>
      <c r="N373" s="372">
        <v>0</v>
      </c>
      <c r="O373" s="372">
        <v>0</v>
      </c>
      <c r="P373" s="372">
        <v>0</v>
      </c>
      <c r="Q373" s="372">
        <v>0</v>
      </c>
      <c r="R373" s="372">
        <v>0</v>
      </c>
      <c r="S373" s="372">
        <v>0</v>
      </c>
    </row>
    <row r="374" spans="1:19" ht="12.75">
      <c r="A374" s="369" t="s">
        <v>2331</v>
      </c>
      <c r="B374" s="369" t="s">
        <v>2319</v>
      </c>
      <c r="C374" s="369" t="s">
        <v>731</v>
      </c>
      <c r="D374" s="372">
        <v>1</v>
      </c>
      <c r="E374" s="372">
        <v>0</v>
      </c>
      <c r="F374" s="372">
        <v>1</v>
      </c>
      <c r="G374" s="372">
        <v>1</v>
      </c>
      <c r="H374" s="372">
        <v>1</v>
      </c>
      <c r="I374" s="372">
        <v>1</v>
      </c>
      <c r="J374" s="372">
        <v>1</v>
      </c>
      <c r="K374" s="372">
        <v>0</v>
      </c>
      <c r="L374" s="372">
        <v>0</v>
      </c>
      <c r="M374" s="372">
        <v>0</v>
      </c>
      <c r="N374" s="372">
        <v>0</v>
      </c>
      <c r="O374" s="372">
        <v>1</v>
      </c>
      <c r="P374" s="372">
        <v>0</v>
      </c>
      <c r="Q374" s="372">
        <v>0</v>
      </c>
      <c r="R374" s="372">
        <v>0</v>
      </c>
      <c r="S374" s="372">
        <v>1</v>
      </c>
    </row>
    <row r="375" spans="1:19" ht="12.75">
      <c r="A375" s="369" t="s">
        <v>2332</v>
      </c>
      <c r="B375" s="369" t="s">
        <v>2320</v>
      </c>
      <c r="C375" s="369" t="s">
        <v>732</v>
      </c>
      <c r="D375" s="372">
        <v>1</v>
      </c>
      <c r="E375" s="372">
        <v>1</v>
      </c>
      <c r="F375" s="372">
        <v>1</v>
      </c>
      <c r="G375" s="372">
        <v>0</v>
      </c>
      <c r="H375" s="372">
        <v>0</v>
      </c>
      <c r="I375" s="372">
        <v>1</v>
      </c>
      <c r="J375" s="372">
        <v>1</v>
      </c>
      <c r="K375" s="372">
        <v>1</v>
      </c>
      <c r="L375" s="372">
        <v>1</v>
      </c>
      <c r="M375" s="372">
        <v>1</v>
      </c>
      <c r="N375" s="372">
        <v>1</v>
      </c>
      <c r="O375" s="372">
        <v>0</v>
      </c>
      <c r="P375" s="372">
        <v>1</v>
      </c>
      <c r="Q375" s="372">
        <v>0</v>
      </c>
      <c r="R375" s="372">
        <v>1</v>
      </c>
      <c r="S375" s="372">
        <v>1</v>
      </c>
    </row>
    <row r="376" spans="1:19" ht="12.75">
      <c r="A376" s="369" t="s">
        <v>284</v>
      </c>
      <c r="B376" s="369" t="s">
        <v>2321</v>
      </c>
      <c r="C376" s="369" t="s">
        <v>733</v>
      </c>
      <c r="D376" s="372">
        <v>0</v>
      </c>
      <c r="E376" s="372">
        <v>0</v>
      </c>
      <c r="F376" s="372">
        <v>0</v>
      </c>
      <c r="G376" s="372">
        <v>0</v>
      </c>
      <c r="H376" s="372">
        <v>0</v>
      </c>
      <c r="I376" s="372">
        <v>1</v>
      </c>
      <c r="J376" s="372">
        <v>1</v>
      </c>
      <c r="K376" s="372">
        <v>0</v>
      </c>
      <c r="L376" s="372">
        <v>0</v>
      </c>
      <c r="M376" s="372">
        <v>0</v>
      </c>
      <c r="N376" s="372">
        <v>0</v>
      </c>
      <c r="O376" s="372">
        <v>0</v>
      </c>
      <c r="P376" s="372">
        <v>1</v>
      </c>
      <c r="Q376" s="372">
        <v>1</v>
      </c>
      <c r="R376" s="372">
        <v>0</v>
      </c>
      <c r="S376" s="372">
        <v>1</v>
      </c>
    </row>
    <row r="377" spans="1:19" ht="12.75">
      <c r="A377" s="369" t="s">
        <v>1685</v>
      </c>
      <c r="B377" s="369" t="s">
        <v>1950</v>
      </c>
      <c r="C377" s="369" t="s">
        <v>734</v>
      </c>
      <c r="D377" s="372">
        <v>0</v>
      </c>
      <c r="E377" s="372">
        <v>0</v>
      </c>
      <c r="F377" s="372">
        <v>0</v>
      </c>
      <c r="G377" s="372">
        <v>0</v>
      </c>
      <c r="H377" s="372">
        <v>0</v>
      </c>
      <c r="I377" s="372">
        <v>0</v>
      </c>
      <c r="J377" s="372">
        <v>0</v>
      </c>
      <c r="K377" s="372">
        <v>0</v>
      </c>
      <c r="L377" s="372">
        <v>0</v>
      </c>
      <c r="M377" s="372">
        <v>0</v>
      </c>
      <c r="N377" s="372">
        <v>0</v>
      </c>
      <c r="O377" s="372">
        <v>0</v>
      </c>
      <c r="P377" s="372">
        <v>0</v>
      </c>
      <c r="Q377" s="372">
        <v>0</v>
      </c>
      <c r="R377" s="372">
        <v>0</v>
      </c>
      <c r="S377" s="372">
        <v>0</v>
      </c>
    </row>
    <row r="378" spans="1:19" ht="12.75">
      <c r="A378" s="369" t="s">
        <v>1687</v>
      </c>
      <c r="B378" s="369" t="s">
        <v>1686</v>
      </c>
      <c r="C378" s="369" t="s">
        <v>735</v>
      </c>
      <c r="D378" s="372">
        <v>0</v>
      </c>
      <c r="E378" s="372">
        <v>0</v>
      </c>
      <c r="F378" s="372">
        <v>0</v>
      </c>
      <c r="G378" s="372">
        <v>0</v>
      </c>
      <c r="H378" s="372">
        <v>0</v>
      </c>
      <c r="I378" s="372">
        <v>0</v>
      </c>
      <c r="J378" s="372">
        <v>0</v>
      </c>
      <c r="K378" s="372">
        <v>0</v>
      </c>
      <c r="L378" s="372">
        <v>0</v>
      </c>
      <c r="M378" s="372">
        <v>0</v>
      </c>
      <c r="N378" s="372">
        <v>0</v>
      </c>
      <c r="O378" s="372">
        <v>0</v>
      </c>
      <c r="P378" s="372">
        <v>0</v>
      </c>
      <c r="Q378" s="372">
        <v>0</v>
      </c>
      <c r="R378" s="372">
        <v>0</v>
      </c>
      <c r="S378" s="372">
        <v>0</v>
      </c>
    </row>
    <row r="379" spans="1:19" ht="12.75">
      <c r="A379" s="369" t="s">
        <v>285</v>
      </c>
      <c r="B379" s="369" t="s">
        <v>2322</v>
      </c>
      <c r="C379" s="369" t="s">
        <v>736</v>
      </c>
      <c r="D379" s="372">
        <v>1</v>
      </c>
      <c r="E379" s="372">
        <v>1</v>
      </c>
      <c r="F379" s="372">
        <v>0</v>
      </c>
      <c r="G379" s="372">
        <v>0</v>
      </c>
      <c r="H379" s="372">
        <v>0</v>
      </c>
      <c r="I379" s="372">
        <v>0</v>
      </c>
      <c r="J379" s="372">
        <v>0</v>
      </c>
      <c r="K379" s="372">
        <v>0</v>
      </c>
      <c r="L379" s="372">
        <v>0</v>
      </c>
      <c r="M379" s="372">
        <v>1</v>
      </c>
      <c r="N379" s="372">
        <v>0</v>
      </c>
      <c r="O379" s="372">
        <v>0</v>
      </c>
      <c r="P379" s="372">
        <v>0</v>
      </c>
      <c r="Q379" s="372">
        <v>0</v>
      </c>
      <c r="R379" s="372">
        <v>1</v>
      </c>
      <c r="S379" s="372">
        <v>0</v>
      </c>
    </row>
    <row r="380" spans="1:19" ht="12.75">
      <c r="A380" s="369" t="s">
        <v>138</v>
      </c>
      <c r="B380" s="369" t="s">
        <v>1688</v>
      </c>
      <c r="C380" s="369" t="s">
        <v>737</v>
      </c>
      <c r="D380" s="372">
        <v>0</v>
      </c>
      <c r="E380" s="372">
        <v>0</v>
      </c>
      <c r="F380" s="372">
        <v>0</v>
      </c>
      <c r="G380" s="372">
        <v>0</v>
      </c>
      <c r="H380" s="372">
        <v>0</v>
      </c>
      <c r="I380" s="372">
        <v>0</v>
      </c>
      <c r="J380" s="372">
        <v>0</v>
      </c>
      <c r="K380" s="372">
        <v>0</v>
      </c>
      <c r="L380" s="372">
        <v>0</v>
      </c>
      <c r="M380" s="372">
        <v>0</v>
      </c>
      <c r="N380" s="372">
        <v>0</v>
      </c>
      <c r="O380" s="372">
        <v>0</v>
      </c>
      <c r="P380" s="372">
        <v>0</v>
      </c>
      <c r="Q380" s="372">
        <v>0</v>
      </c>
      <c r="R380" s="372">
        <v>0</v>
      </c>
      <c r="S380" s="372">
        <v>0</v>
      </c>
    </row>
    <row r="381" spans="1:19" ht="12.75">
      <c r="A381" s="369" t="s">
        <v>140</v>
      </c>
      <c r="B381" s="369" t="s">
        <v>139</v>
      </c>
      <c r="C381" s="369" t="s">
        <v>738</v>
      </c>
      <c r="D381" s="372">
        <v>0</v>
      </c>
      <c r="E381" s="372">
        <v>0</v>
      </c>
      <c r="F381" s="372">
        <v>0</v>
      </c>
      <c r="G381" s="372">
        <v>0</v>
      </c>
      <c r="H381" s="372">
        <v>0</v>
      </c>
      <c r="I381" s="372">
        <v>0</v>
      </c>
      <c r="J381" s="372">
        <v>0</v>
      </c>
      <c r="K381" s="372">
        <v>0</v>
      </c>
      <c r="L381" s="372">
        <v>0</v>
      </c>
      <c r="M381" s="372">
        <v>0</v>
      </c>
      <c r="N381" s="372">
        <v>0</v>
      </c>
      <c r="O381" s="372">
        <v>0</v>
      </c>
      <c r="P381" s="372">
        <v>0</v>
      </c>
      <c r="Q381" s="372">
        <v>0</v>
      </c>
      <c r="R381" s="372">
        <v>0</v>
      </c>
      <c r="S381" s="372">
        <v>0</v>
      </c>
    </row>
    <row r="382" spans="1:19" ht="12.75">
      <c r="A382" s="369" t="s">
        <v>1631</v>
      </c>
      <c r="B382" s="369" t="s">
        <v>141</v>
      </c>
      <c r="C382" s="369" t="s">
        <v>739</v>
      </c>
      <c r="D382" s="372">
        <v>0</v>
      </c>
      <c r="E382" s="372">
        <v>0</v>
      </c>
      <c r="F382" s="372">
        <v>0</v>
      </c>
      <c r="G382" s="372">
        <v>0</v>
      </c>
      <c r="H382" s="372">
        <v>0</v>
      </c>
      <c r="I382" s="372">
        <v>0</v>
      </c>
      <c r="J382" s="372">
        <v>0</v>
      </c>
      <c r="K382" s="372">
        <v>0</v>
      </c>
      <c r="L382" s="372">
        <v>0</v>
      </c>
      <c r="M382" s="372">
        <v>0</v>
      </c>
      <c r="N382" s="372">
        <v>0</v>
      </c>
      <c r="O382" s="372">
        <v>0</v>
      </c>
      <c r="P382" s="372">
        <v>0</v>
      </c>
      <c r="Q382" s="372">
        <v>0</v>
      </c>
      <c r="R382" s="372">
        <v>0</v>
      </c>
      <c r="S382" s="372">
        <v>0</v>
      </c>
    </row>
    <row r="383" spans="1:19" ht="12.75">
      <c r="A383" s="369" t="s">
        <v>2004</v>
      </c>
      <c r="B383" s="369" t="s">
        <v>2005</v>
      </c>
      <c r="C383" s="369"/>
      <c r="D383" s="372">
        <v>0</v>
      </c>
      <c r="E383" s="372">
        <v>0</v>
      </c>
      <c r="F383" s="372">
        <v>0</v>
      </c>
      <c r="G383" s="372">
        <v>0</v>
      </c>
      <c r="H383" s="372">
        <v>0</v>
      </c>
      <c r="I383" s="372">
        <v>0</v>
      </c>
      <c r="J383" s="372">
        <v>0</v>
      </c>
      <c r="K383" s="372">
        <v>0</v>
      </c>
      <c r="L383" s="372">
        <v>0</v>
      </c>
      <c r="M383" s="372">
        <v>0</v>
      </c>
      <c r="N383" s="372">
        <v>0</v>
      </c>
      <c r="O383" s="372">
        <v>0</v>
      </c>
      <c r="P383" s="372">
        <v>0</v>
      </c>
      <c r="Q383" s="372">
        <v>0</v>
      </c>
      <c r="R383" s="372">
        <v>0</v>
      </c>
      <c r="S383" s="372">
        <v>0</v>
      </c>
    </row>
    <row r="384" spans="1:19" ht="12.75">
      <c r="A384" s="369" t="s">
        <v>1295</v>
      </c>
      <c r="B384" s="369" t="s">
        <v>1280</v>
      </c>
      <c r="C384" s="369" t="s">
        <v>740</v>
      </c>
      <c r="D384" s="372">
        <v>0</v>
      </c>
      <c r="E384" s="372">
        <v>0</v>
      </c>
      <c r="F384" s="372">
        <v>0</v>
      </c>
      <c r="G384" s="372">
        <v>0</v>
      </c>
      <c r="H384" s="372">
        <v>0</v>
      </c>
      <c r="I384" s="372">
        <v>0</v>
      </c>
      <c r="J384" s="372">
        <v>0</v>
      </c>
      <c r="K384" s="372">
        <v>0</v>
      </c>
      <c r="L384" s="372">
        <v>0</v>
      </c>
      <c r="M384" s="372">
        <v>0</v>
      </c>
      <c r="N384" s="372">
        <v>0</v>
      </c>
      <c r="O384" s="372">
        <v>0</v>
      </c>
      <c r="P384" s="372">
        <v>0</v>
      </c>
      <c r="Q384" s="372">
        <v>0</v>
      </c>
      <c r="R384" s="372">
        <v>1</v>
      </c>
      <c r="S384" s="372">
        <v>0</v>
      </c>
    </row>
    <row r="385" spans="1:19" ht="12.75">
      <c r="A385" s="369" t="s">
        <v>1296</v>
      </c>
      <c r="B385" s="369" t="s">
        <v>298</v>
      </c>
      <c r="C385" s="369" t="s">
        <v>741</v>
      </c>
      <c r="D385" s="372">
        <v>0</v>
      </c>
      <c r="E385" s="372">
        <v>0</v>
      </c>
      <c r="F385" s="372">
        <v>0</v>
      </c>
      <c r="G385" s="372">
        <v>0</v>
      </c>
      <c r="H385" s="372">
        <v>0</v>
      </c>
      <c r="I385" s="372">
        <v>0</v>
      </c>
      <c r="J385" s="372">
        <v>0</v>
      </c>
      <c r="K385" s="372">
        <v>0</v>
      </c>
      <c r="L385" s="372">
        <v>0</v>
      </c>
      <c r="M385" s="372">
        <v>0</v>
      </c>
      <c r="N385" s="372">
        <v>0</v>
      </c>
      <c r="O385" s="372">
        <v>0</v>
      </c>
      <c r="P385" s="372">
        <v>0</v>
      </c>
      <c r="Q385" s="372">
        <v>0</v>
      </c>
      <c r="R385" s="372">
        <v>1</v>
      </c>
      <c r="S385" s="372">
        <v>0</v>
      </c>
    </row>
    <row r="386" spans="1:19" ht="12.75">
      <c r="A386" s="369" t="s">
        <v>1297</v>
      </c>
      <c r="B386" s="369" t="s">
        <v>2323</v>
      </c>
      <c r="C386" s="369" t="s">
        <v>742</v>
      </c>
      <c r="D386" s="372">
        <v>1</v>
      </c>
      <c r="E386" s="372">
        <v>1</v>
      </c>
      <c r="F386" s="372">
        <v>1</v>
      </c>
      <c r="G386" s="372">
        <v>1</v>
      </c>
      <c r="H386" s="372">
        <v>1</v>
      </c>
      <c r="I386" s="372">
        <v>1</v>
      </c>
      <c r="J386" s="372">
        <v>1</v>
      </c>
      <c r="K386" s="372">
        <v>1</v>
      </c>
      <c r="L386" s="372">
        <v>0</v>
      </c>
      <c r="M386" s="372">
        <v>1</v>
      </c>
      <c r="N386" s="372">
        <v>1</v>
      </c>
      <c r="O386" s="372">
        <v>1</v>
      </c>
      <c r="P386" s="372">
        <v>1</v>
      </c>
      <c r="Q386" s="372">
        <v>0</v>
      </c>
      <c r="R386" s="372">
        <v>0</v>
      </c>
      <c r="S386" s="372">
        <v>0</v>
      </c>
    </row>
    <row r="387" spans="1:19" ht="12.75">
      <c r="A387" s="369" t="s">
        <v>1298</v>
      </c>
      <c r="B387" s="369" t="s">
        <v>67</v>
      </c>
      <c r="C387" s="369" t="s">
        <v>743</v>
      </c>
      <c r="D387" s="372">
        <v>1</v>
      </c>
      <c r="E387" s="372">
        <v>1</v>
      </c>
      <c r="F387" s="372">
        <v>1</v>
      </c>
      <c r="G387" s="372">
        <v>1</v>
      </c>
      <c r="H387" s="372">
        <v>1</v>
      </c>
      <c r="I387" s="372">
        <v>1</v>
      </c>
      <c r="J387" s="372">
        <v>1</v>
      </c>
      <c r="K387" s="372">
        <v>1</v>
      </c>
      <c r="L387" s="372">
        <v>1</v>
      </c>
      <c r="M387" s="372">
        <v>1</v>
      </c>
      <c r="N387" s="372">
        <v>1</v>
      </c>
      <c r="O387" s="372">
        <v>1</v>
      </c>
      <c r="P387" s="372">
        <v>1</v>
      </c>
      <c r="Q387" s="372">
        <v>0</v>
      </c>
      <c r="R387" s="372">
        <v>1</v>
      </c>
      <c r="S387" s="372">
        <v>1</v>
      </c>
    </row>
    <row r="388" spans="1:19" ht="12.75">
      <c r="A388" s="369" t="s">
        <v>1940</v>
      </c>
      <c r="B388" s="369" t="s">
        <v>287</v>
      </c>
      <c r="C388" s="369" t="s">
        <v>744</v>
      </c>
      <c r="D388" s="372">
        <v>0</v>
      </c>
      <c r="E388" s="372">
        <v>0</v>
      </c>
      <c r="F388" s="372">
        <v>0</v>
      </c>
      <c r="G388" s="372">
        <v>0</v>
      </c>
      <c r="H388" s="372">
        <v>0</v>
      </c>
      <c r="I388" s="372">
        <v>0</v>
      </c>
      <c r="J388" s="372">
        <v>0</v>
      </c>
      <c r="K388" s="372">
        <v>0</v>
      </c>
      <c r="L388" s="372">
        <v>0</v>
      </c>
      <c r="M388" s="372">
        <v>0</v>
      </c>
      <c r="N388" s="372">
        <v>0</v>
      </c>
      <c r="O388" s="372">
        <v>0</v>
      </c>
      <c r="P388" s="372">
        <v>0</v>
      </c>
      <c r="Q388" s="372">
        <v>0</v>
      </c>
      <c r="R388" s="372">
        <v>0</v>
      </c>
      <c r="S388" s="372">
        <v>0</v>
      </c>
    </row>
    <row r="389" spans="1:19" ht="12.75">
      <c r="A389" s="369" t="s">
        <v>129</v>
      </c>
      <c r="B389" s="369" t="s">
        <v>2262</v>
      </c>
      <c r="C389" s="369" t="s">
        <v>745</v>
      </c>
      <c r="D389" s="372">
        <v>0</v>
      </c>
      <c r="E389" s="372">
        <v>0</v>
      </c>
      <c r="F389" s="372">
        <v>0</v>
      </c>
      <c r="G389" s="372">
        <v>0</v>
      </c>
      <c r="H389" s="372">
        <v>0</v>
      </c>
      <c r="I389" s="372">
        <v>0</v>
      </c>
      <c r="J389" s="372">
        <v>0</v>
      </c>
      <c r="K389" s="372">
        <v>0</v>
      </c>
      <c r="L389" s="372">
        <v>0</v>
      </c>
      <c r="M389" s="372">
        <v>0</v>
      </c>
      <c r="N389" s="372">
        <v>0</v>
      </c>
      <c r="O389" s="372">
        <v>0</v>
      </c>
      <c r="P389" s="372">
        <v>0</v>
      </c>
      <c r="Q389" s="372">
        <v>0</v>
      </c>
      <c r="R389" s="372">
        <v>0</v>
      </c>
      <c r="S389" s="372">
        <v>0</v>
      </c>
    </row>
    <row r="390" spans="1:19" ht="12.75">
      <c r="A390" s="369" t="s">
        <v>2057</v>
      </c>
      <c r="B390" s="369" t="s">
        <v>68</v>
      </c>
      <c r="C390" s="369" t="s">
        <v>746</v>
      </c>
      <c r="D390" s="372">
        <v>0</v>
      </c>
      <c r="E390" s="372">
        <v>1</v>
      </c>
      <c r="F390" s="372">
        <v>0</v>
      </c>
      <c r="G390" s="372">
        <v>1</v>
      </c>
      <c r="H390" s="372">
        <v>1</v>
      </c>
      <c r="I390" s="372">
        <v>0</v>
      </c>
      <c r="J390" s="372">
        <v>0</v>
      </c>
      <c r="K390" s="372">
        <v>0</v>
      </c>
      <c r="L390" s="372">
        <v>0</v>
      </c>
      <c r="M390" s="372">
        <v>0</v>
      </c>
      <c r="N390" s="372">
        <v>0</v>
      </c>
      <c r="O390" s="372">
        <v>1</v>
      </c>
      <c r="P390" s="372">
        <v>0</v>
      </c>
      <c r="Q390" s="372">
        <v>0</v>
      </c>
      <c r="R390" s="372">
        <v>0</v>
      </c>
      <c r="S390" s="372">
        <v>0</v>
      </c>
    </row>
    <row r="391" spans="1:19" ht="12.75">
      <c r="A391" s="369" t="s">
        <v>2058</v>
      </c>
      <c r="B391" s="369" t="s">
        <v>69</v>
      </c>
      <c r="C391" s="369" t="s">
        <v>747</v>
      </c>
      <c r="D391" s="372">
        <v>1</v>
      </c>
      <c r="E391" s="372">
        <v>1</v>
      </c>
      <c r="F391" s="372">
        <v>0</v>
      </c>
      <c r="G391" s="372">
        <v>1</v>
      </c>
      <c r="H391" s="372">
        <v>1</v>
      </c>
      <c r="I391" s="372">
        <v>1</v>
      </c>
      <c r="J391" s="372">
        <v>0</v>
      </c>
      <c r="K391" s="372">
        <v>0</v>
      </c>
      <c r="L391" s="372">
        <v>0</v>
      </c>
      <c r="M391" s="372">
        <v>1</v>
      </c>
      <c r="N391" s="372">
        <v>0</v>
      </c>
      <c r="O391" s="372">
        <v>0</v>
      </c>
      <c r="P391" s="372">
        <v>0</v>
      </c>
      <c r="Q391" s="372">
        <v>0</v>
      </c>
      <c r="R391" s="372">
        <v>1</v>
      </c>
      <c r="S391" s="372">
        <v>1</v>
      </c>
    </row>
    <row r="392" spans="1:19" ht="12.75">
      <c r="A392" s="369" t="s">
        <v>2059</v>
      </c>
      <c r="B392" s="369" t="s">
        <v>70</v>
      </c>
      <c r="C392" s="369" t="s">
        <v>748</v>
      </c>
      <c r="D392" s="372">
        <v>1</v>
      </c>
      <c r="E392" s="372">
        <v>1</v>
      </c>
      <c r="F392" s="372">
        <v>1</v>
      </c>
      <c r="G392" s="372">
        <v>1</v>
      </c>
      <c r="H392" s="372">
        <v>1</v>
      </c>
      <c r="I392" s="372">
        <v>1</v>
      </c>
      <c r="J392" s="372">
        <v>1</v>
      </c>
      <c r="K392" s="372">
        <v>1</v>
      </c>
      <c r="L392" s="372">
        <v>1</v>
      </c>
      <c r="M392" s="372">
        <v>1</v>
      </c>
      <c r="N392" s="372">
        <v>1</v>
      </c>
      <c r="O392" s="372">
        <v>1</v>
      </c>
      <c r="P392" s="372">
        <v>1</v>
      </c>
      <c r="Q392" s="372">
        <v>0</v>
      </c>
      <c r="R392" s="372">
        <v>0</v>
      </c>
      <c r="S392" s="372">
        <v>1</v>
      </c>
    </row>
    <row r="393" spans="1:19" ht="12.75">
      <c r="A393" s="369" t="s">
        <v>2377</v>
      </c>
      <c r="B393" s="369" t="s">
        <v>130</v>
      </c>
      <c r="C393" s="369" t="s">
        <v>749</v>
      </c>
      <c r="D393" s="372">
        <v>0</v>
      </c>
      <c r="E393" s="372">
        <v>0</v>
      </c>
      <c r="F393" s="372">
        <v>0</v>
      </c>
      <c r="G393" s="372">
        <v>0</v>
      </c>
      <c r="H393" s="372">
        <v>0</v>
      </c>
      <c r="I393" s="372">
        <v>0</v>
      </c>
      <c r="J393" s="372">
        <v>0</v>
      </c>
      <c r="K393" s="372">
        <v>0</v>
      </c>
      <c r="L393" s="372">
        <v>0</v>
      </c>
      <c r="M393" s="372">
        <v>0</v>
      </c>
      <c r="N393" s="372">
        <v>0</v>
      </c>
      <c r="O393" s="372">
        <v>0</v>
      </c>
      <c r="P393" s="372">
        <v>0</v>
      </c>
      <c r="Q393" s="372">
        <v>0</v>
      </c>
      <c r="R393" s="372">
        <v>0</v>
      </c>
      <c r="S393" s="372">
        <v>0</v>
      </c>
    </row>
    <row r="394" spans="1:19" ht="12.75">
      <c r="A394" s="369" t="s">
        <v>2379</v>
      </c>
      <c r="B394" s="369" t="s">
        <v>2378</v>
      </c>
      <c r="C394" s="369" t="s">
        <v>750</v>
      </c>
      <c r="D394" s="372">
        <v>0</v>
      </c>
      <c r="E394" s="372">
        <v>0</v>
      </c>
      <c r="F394" s="372">
        <v>0</v>
      </c>
      <c r="G394" s="372">
        <v>0</v>
      </c>
      <c r="H394" s="372">
        <v>0</v>
      </c>
      <c r="I394" s="372">
        <v>0</v>
      </c>
      <c r="J394" s="372">
        <v>0</v>
      </c>
      <c r="K394" s="372">
        <v>0</v>
      </c>
      <c r="L394" s="372">
        <v>0</v>
      </c>
      <c r="M394" s="372">
        <v>0</v>
      </c>
      <c r="N394" s="372">
        <v>0</v>
      </c>
      <c r="O394" s="372">
        <v>0</v>
      </c>
      <c r="P394" s="372">
        <v>0</v>
      </c>
      <c r="Q394" s="372">
        <v>0</v>
      </c>
      <c r="R394" s="372">
        <v>0</v>
      </c>
      <c r="S394" s="372">
        <v>0</v>
      </c>
    </row>
    <row r="395" spans="1:19" ht="12.75">
      <c r="A395" s="369" t="s">
        <v>1513</v>
      </c>
      <c r="B395" s="369" t="s">
        <v>299</v>
      </c>
      <c r="C395" s="369" t="s">
        <v>751</v>
      </c>
      <c r="D395" s="372">
        <v>0</v>
      </c>
      <c r="E395" s="372">
        <v>0</v>
      </c>
      <c r="F395" s="372">
        <v>0</v>
      </c>
      <c r="G395" s="372">
        <v>0</v>
      </c>
      <c r="H395" s="372">
        <v>0</v>
      </c>
      <c r="I395" s="372">
        <v>0</v>
      </c>
      <c r="J395" s="372">
        <v>0</v>
      </c>
      <c r="K395" s="372">
        <v>0</v>
      </c>
      <c r="L395" s="372">
        <v>0</v>
      </c>
      <c r="M395" s="372">
        <v>0</v>
      </c>
      <c r="N395" s="372">
        <v>0</v>
      </c>
      <c r="O395" s="372">
        <v>0</v>
      </c>
      <c r="P395" s="372">
        <v>0</v>
      </c>
      <c r="Q395" s="372">
        <v>0</v>
      </c>
      <c r="R395" s="372">
        <v>0</v>
      </c>
      <c r="S395" s="372">
        <v>0</v>
      </c>
    </row>
    <row r="396" spans="1:19" ht="12.75">
      <c r="A396" s="369" t="s">
        <v>2381</v>
      </c>
      <c r="B396" s="369" t="s">
        <v>2380</v>
      </c>
      <c r="C396" s="369" t="s">
        <v>752</v>
      </c>
      <c r="D396" s="372">
        <v>0</v>
      </c>
      <c r="E396" s="372">
        <v>0</v>
      </c>
      <c r="F396" s="372">
        <v>0</v>
      </c>
      <c r="G396" s="372">
        <v>0</v>
      </c>
      <c r="H396" s="372">
        <v>0</v>
      </c>
      <c r="I396" s="372">
        <v>0</v>
      </c>
      <c r="J396" s="372">
        <v>0</v>
      </c>
      <c r="K396" s="372">
        <v>0</v>
      </c>
      <c r="L396" s="372">
        <v>0</v>
      </c>
      <c r="M396" s="372">
        <v>0</v>
      </c>
      <c r="N396" s="372">
        <v>0</v>
      </c>
      <c r="O396" s="372">
        <v>0</v>
      </c>
      <c r="P396" s="372">
        <v>0</v>
      </c>
      <c r="Q396" s="372">
        <v>0</v>
      </c>
      <c r="R396" s="372">
        <v>0</v>
      </c>
      <c r="S396" s="372">
        <v>0</v>
      </c>
    </row>
    <row r="397" spans="1:19" ht="12.75">
      <c r="A397" s="369" t="s">
        <v>2327</v>
      </c>
      <c r="B397" s="369" t="s">
        <v>300</v>
      </c>
      <c r="C397" s="369" t="s">
        <v>753</v>
      </c>
      <c r="D397" s="372">
        <v>0</v>
      </c>
      <c r="E397" s="372">
        <v>0</v>
      </c>
      <c r="F397" s="372">
        <v>0</v>
      </c>
      <c r="G397" s="372">
        <v>0</v>
      </c>
      <c r="H397" s="372">
        <v>0</v>
      </c>
      <c r="I397" s="372">
        <v>0</v>
      </c>
      <c r="J397" s="372">
        <v>0</v>
      </c>
      <c r="K397" s="372">
        <v>0</v>
      </c>
      <c r="L397" s="372">
        <v>0</v>
      </c>
      <c r="M397" s="372">
        <v>0</v>
      </c>
      <c r="N397" s="372">
        <v>0</v>
      </c>
      <c r="O397" s="372">
        <v>0</v>
      </c>
      <c r="P397" s="372">
        <v>0</v>
      </c>
      <c r="Q397" s="372">
        <v>0</v>
      </c>
      <c r="R397" s="372">
        <v>0</v>
      </c>
      <c r="S397" s="372">
        <v>0</v>
      </c>
    </row>
    <row r="398" spans="1:19" ht="12.75">
      <c r="A398" s="369" t="s">
        <v>254</v>
      </c>
      <c r="B398" s="369" t="s">
        <v>2111</v>
      </c>
      <c r="C398" s="369" t="s">
        <v>754</v>
      </c>
      <c r="D398" s="372">
        <v>0</v>
      </c>
      <c r="E398" s="372">
        <v>0</v>
      </c>
      <c r="F398" s="372">
        <v>0</v>
      </c>
      <c r="G398" s="372">
        <v>0</v>
      </c>
      <c r="H398" s="372">
        <v>0</v>
      </c>
      <c r="I398" s="372">
        <v>0</v>
      </c>
      <c r="J398" s="372">
        <v>0</v>
      </c>
      <c r="K398" s="372">
        <v>0</v>
      </c>
      <c r="L398" s="372">
        <v>0</v>
      </c>
      <c r="M398" s="372">
        <v>0</v>
      </c>
      <c r="N398" s="372">
        <v>0</v>
      </c>
      <c r="O398" s="372">
        <v>0</v>
      </c>
      <c r="P398" s="372">
        <v>0</v>
      </c>
      <c r="Q398" s="372">
        <v>0</v>
      </c>
      <c r="R398" s="372">
        <v>0</v>
      </c>
      <c r="S398" s="372">
        <v>0</v>
      </c>
    </row>
    <row r="399" spans="1:19" ht="12.75">
      <c r="A399" s="369" t="s">
        <v>1197</v>
      </c>
      <c r="B399" s="369" t="s">
        <v>225</v>
      </c>
      <c r="C399" s="369" t="s">
        <v>755</v>
      </c>
      <c r="D399" s="372">
        <v>1</v>
      </c>
      <c r="E399" s="372">
        <v>1</v>
      </c>
      <c r="F399" s="372">
        <v>0</v>
      </c>
      <c r="G399" s="372">
        <v>0</v>
      </c>
      <c r="H399" s="372">
        <v>0</v>
      </c>
      <c r="I399" s="372">
        <v>0</v>
      </c>
      <c r="J399" s="372">
        <v>0</v>
      </c>
      <c r="K399" s="372">
        <v>0</v>
      </c>
      <c r="L399" s="372">
        <v>0</v>
      </c>
      <c r="M399" s="372">
        <v>0</v>
      </c>
      <c r="N399" s="372">
        <v>0</v>
      </c>
      <c r="O399" s="372">
        <v>0</v>
      </c>
      <c r="P399" s="372">
        <v>0</v>
      </c>
      <c r="Q399" s="372">
        <v>0</v>
      </c>
      <c r="R399" s="372">
        <v>0</v>
      </c>
      <c r="S399" s="372">
        <v>1</v>
      </c>
    </row>
    <row r="400" spans="1:19" ht="12.75">
      <c r="A400" s="369" t="s">
        <v>1584</v>
      </c>
      <c r="B400" s="369" t="s">
        <v>2152</v>
      </c>
      <c r="C400" s="369" t="s">
        <v>756</v>
      </c>
      <c r="D400" s="372">
        <v>0</v>
      </c>
      <c r="E400" s="372">
        <v>0</v>
      </c>
      <c r="F400" s="372">
        <v>0</v>
      </c>
      <c r="G400" s="372">
        <v>0</v>
      </c>
      <c r="H400" s="372">
        <v>0</v>
      </c>
      <c r="I400" s="372">
        <v>0</v>
      </c>
      <c r="J400" s="372">
        <v>0</v>
      </c>
      <c r="K400" s="372">
        <v>0</v>
      </c>
      <c r="L400" s="372">
        <v>0</v>
      </c>
      <c r="M400" s="372">
        <v>0</v>
      </c>
      <c r="N400" s="372">
        <v>0</v>
      </c>
      <c r="O400" s="372">
        <v>0</v>
      </c>
      <c r="P400" s="372">
        <v>0</v>
      </c>
      <c r="Q400" s="372">
        <v>0</v>
      </c>
      <c r="R400" s="372">
        <v>0</v>
      </c>
      <c r="S400" s="372">
        <v>0</v>
      </c>
    </row>
    <row r="401" spans="1:19" ht="12.75">
      <c r="A401" s="369" t="s">
        <v>1585</v>
      </c>
      <c r="B401" s="369" t="s">
        <v>71</v>
      </c>
      <c r="C401" s="369" t="s">
        <v>757</v>
      </c>
      <c r="D401" s="372">
        <v>1</v>
      </c>
      <c r="E401" s="372">
        <v>1</v>
      </c>
      <c r="F401" s="372">
        <v>1</v>
      </c>
      <c r="G401" s="372">
        <v>1</v>
      </c>
      <c r="H401" s="372">
        <v>1</v>
      </c>
      <c r="I401" s="372">
        <v>0</v>
      </c>
      <c r="J401" s="372">
        <v>0</v>
      </c>
      <c r="K401" s="372">
        <v>0</v>
      </c>
      <c r="L401" s="372">
        <v>0</v>
      </c>
      <c r="M401" s="372">
        <v>1</v>
      </c>
      <c r="N401" s="372">
        <v>0</v>
      </c>
      <c r="O401" s="372">
        <v>1</v>
      </c>
      <c r="P401" s="372">
        <v>0</v>
      </c>
      <c r="Q401" s="372">
        <v>1</v>
      </c>
      <c r="R401" s="372">
        <v>0</v>
      </c>
      <c r="S401" s="372">
        <v>1</v>
      </c>
    </row>
    <row r="402" spans="1:19" ht="12.75">
      <c r="A402" s="369" t="s">
        <v>1141</v>
      </c>
      <c r="B402" s="369" t="s">
        <v>72</v>
      </c>
      <c r="C402" s="369" t="s">
        <v>758</v>
      </c>
      <c r="D402" s="372">
        <v>0</v>
      </c>
      <c r="E402" s="372">
        <v>0</v>
      </c>
      <c r="F402" s="372">
        <v>0</v>
      </c>
      <c r="G402" s="372">
        <v>0</v>
      </c>
      <c r="H402" s="372">
        <v>0</v>
      </c>
      <c r="I402" s="372">
        <v>0</v>
      </c>
      <c r="J402" s="372">
        <v>0</v>
      </c>
      <c r="K402" s="372">
        <v>0</v>
      </c>
      <c r="L402" s="372">
        <v>0</v>
      </c>
      <c r="M402" s="372">
        <v>0</v>
      </c>
      <c r="N402" s="372">
        <v>0</v>
      </c>
      <c r="O402" s="372">
        <v>0</v>
      </c>
      <c r="P402" s="372">
        <v>0</v>
      </c>
      <c r="Q402" s="372">
        <v>0</v>
      </c>
      <c r="R402" s="372">
        <v>0</v>
      </c>
      <c r="S402" s="372">
        <v>1</v>
      </c>
    </row>
    <row r="403" spans="1:19" ht="12.75">
      <c r="A403" s="369" t="s">
        <v>1338</v>
      </c>
      <c r="B403" s="369" t="s">
        <v>255</v>
      </c>
      <c r="C403" s="369" t="s">
        <v>759</v>
      </c>
      <c r="D403" s="372">
        <v>0</v>
      </c>
      <c r="E403" s="372">
        <v>0</v>
      </c>
      <c r="F403" s="372">
        <v>0</v>
      </c>
      <c r="G403" s="372">
        <v>0</v>
      </c>
      <c r="H403" s="372">
        <v>0</v>
      </c>
      <c r="I403" s="372">
        <v>0</v>
      </c>
      <c r="J403" s="372">
        <v>0</v>
      </c>
      <c r="K403" s="372">
        <v>0</v>
      </c>
      <c r="L403" s="372">
        <v>0</v>
      </c>
      <c r="M403" s="372">
        <v>0</v>
      </c>
      <c r="N403" s="372">
        <v>0</v>
      </c>
      <c r="O403" s="372">
        <v>0</v>
      </c>
      <c r="P403" s="372">
        <v>0</v>
      </c>
      <c r="Q403" s="372">
        <v>0</v>
      </c>
      <c r="R403" s="372">
        <v>0</v>
      </c>
      <c r="S403" s="372">
        <v>0</v>
      </c>
    </row>
    <row r="404" spans="1:19" ht="12.75">
      <c r="A404" s="369" t="s">
        <v>1142</v>
      </c>
      <c r="B404" s="369" t="s">
        <v>2153</v>
      </c>
      <c r="C404" s="369" t="s">
        <v>760</v>
      </c>
      <c r="D404" s="372">
        <v>0</v>
      </c>
      <c r="E404" s="372">
        <v>0</v>
      </c>
      <c r="F404" s="372">
        <v>0</v>
      </c>
      <c r="G404" s="372">
        <v>0</v>
      </c>
      <c r="H404" s="372">
        <v>0</v>
      </c>
      <c r="I404" s="372">
        <v>0</v>
      </c>
      <c r="J404" s="372">
        <v>0</v>
      </c>
      <c r="K404" s="372">
        <v>0</v>
      </c>
      <c r="L404" s="372">
        <v>0</v>
      </c>
      <c r="M404" s="372">
        <v>0</v>
      </c>
      <c r="N404" s="372">
        <v>0</v>
      </c>
      <c r="O404" s="372">
        <v>0</v>
      </c>
      <c r="P404" s="372">
        <v>0</v>
      </c>
      <c r="Q404" s="372">
        <v>0</v>
      </c>
      <c r="R404" s="372">
        <v>0</v>
      </c>
      <c r="S404" s="372">
        <v>0</v>
      </c>
    </row>
    <row r="405" spans="1:19" ht="12.75">
      <c r="A405" s="369" t="s">
        <v>270</v>
      </c>
      <c r="B405" s="369" t="s">
        <v>269</v>
      </c>
      <c r="C405" s="369" t="s">
        <v>761</v>
      </c>
      <c r="D405" s="372">
        <v>0</v>
      </c>
      <c r="E405" s="372">
        <v>0</v>
      </c>
      <c r="F405" s="372">
        <v>0</v>
      </c>
      <c r="G405" s="372">
        <v>0</v>
      </c>
      <c r="H405" s="372">
        <v>0</v>
      </c>
      <c r="I405" s="372">
        <v>0</v>
      </c>
      <c r="J405" s="372">
        <v>0</v>
      </c>
      <c r="K405" s="372">
        <v>0</v>
      </c>
      <c r="L405" s="372">
        <v>0</v>
      </c>
      <c r="M405" s="372">
        <v>0</v>
      </c>
      <c r="N405" s="372">
        <v>0</v>
      </c>
      <c r="O405" s="372">
        <v>0</v>
      </c>
      <c r="P405" s="372">
        <v>0</v>
      </c>
      <c r="Q405" s="372">
        <v>0</v>
      </c>
      <c r="R405" s="372">
        <v>0</v>
      </c>
      <c r="S405" s="372">
        <v>0</v>
      </c>
    </row>
    <row r="406" spans="1:19" ht="12.75">
      <c r="A406" s="369" t="s">
        <v>1143</v>
      </c>
      <c r="B406" s="369" t="s">
        <v>2154</v>
      </c>
      <c r="C406" s="369" t="s">
        <v>762</v>
      </c>
      <c r="D406" s="372">
        <v>0</v>
      </c>
      <c r="E406" s="372">
        <v>0</v>
      </c>
      <c r="F406" s="372">
        <v>0</v>
      </c>
      <c r="G406" s="372">
        <v>0</v>
      </c>
      <c r="H406" s="372">
        <v>0</v>
      </c>
      <c r="I406" s="372">
        <v>0</v>
      </c>
      <c r="J406" s="372">
        <v>0</v>
      </c>
      <c r="K406" s="372">
        <v>0</v>
      </c>
      <c r="L406" s="372">
        <v>0</v>
      </c>
      <c r="M406" s="372">
        <v>0</v>
      </c>
      <c r="N406" s="372">
        <v>0</v>
      </c>
      <c r="O406" s="372">
        <v>0</v>
      </c>
      <c r="P406" s="372">
        <v>0</v>
      </c>
      <c r="Q406" s="372">
        <v>0</v>
      </c>
      <c r="R406" s="372">
        <v>0</v>
      </c>
      <c r="S406" s="372">
        <v>0</v>
      </c>
    </row>
    <row r="407" spans="1:19" ht="12.75">
      <c r="A407" s="369" t="s">
        <v>1693</v>
      </c>
      <c r="B407" s="369" t="s">
        <v>73</v>
      </c>
      <c r="C407" s="369" t="s">
        <v>763</v>
      </c>
      <c r="D407" s="372">
        <v>0</v>
      </c>
      <c r="E407" s="372">
        <v>0</v>
      </c>
      <c r="F407" s="372">
        <v>0</v>
      </c>
      <c r="G407" s="372">
        <v>0</v>
      </c>
      <c r="H407" s="372">
        <v>0</v>
      </c>
      <c r="I407" s="372">
        <v>0</v>
      </c>
      <c r="J407" s="372">
        <v>0</v>
      </c>
      <c r="K407" s="372">
        <v>0</v>
      </c>
      <c r="L407" s="372">
        <v>0</v>
      </c>
      <c r="M407" s="372">
        <v>0</v>
      </c>
      <c r="N407" s="372">
        <v>0</v>
      </c>
      <c r="O407" s="372">
        <v>0</v>
      </c>
      <c r="P407" s="372">
        <v>0</v>
      </c>
      <c r="Q407" s="372">
        <v>0</v>
      </c>
      <c r="R407" s="372">
        <v>0</v>
      </c>
      <c r="S407" s="372">
        <v>0</v>
      </c>
    </row>
    <row r="408" spans="1:19" ht="12.75">
      <c r="A408" s="369" t="s">
        <v>272</v>
      </c>
      <c r="B408" s="369" t="s">
        <v>271</v>
      </c>
      <c r="C408" s="369" t="s">
        <v>764</v>
      </c>
      <c r="D408" s="372">
        <v>0</v>
      </c>
      <c r="E408" s="372">
        <v>0</v>
      </c>
      <c r="F408" s="372">
        <v>0</v>
      </c>
      <c r="G408" s="372">
        <v>0</v>
      </c>
      <c r="H408" s="372">
        <v>0</v>
      </c>
      <c r="I408" s="372">
        <v>0</v>
      </c>
      <c r="J408" s="372">
        <v>0</v>
      </c>
      <c r="K408" s="372">
        <v>0</v>
      </c>
      <c r="L408" s="372">
        <v>0</v>
      </c>
      <c r="M408" s="372">
        <v>0</v>
      </c>
      <c r="N408" s="372">
        <v>0</v>
      </c>
      <c r="O408" s="372">
        <v>0</v>
      </c>
      <c r="P408" s="372">
        <v>0</v>
      </c>
      <c r="Q408" s="372">
        <v>0</v>
      </c>
      <c r="R408" s="372">
        <v>0</v>
      </c>
      <c r="S408" s="372">
        <v>0</v>
      </c>
    </row>
    <row r="409" spans="1:19" ht="12.75">
      <c r="A409" s="369" t="s">
        <v>372</v>
      </c>
      <c r="B409" s="369" t="s">
        <v>371</v>
      </c>
      <c r="C409" s="369"/>
      <c r="D409" s="372">
        <v>0</v>
      </c>
      <c r="E409" s="372">
        <v>0</v>
      </c>
      <c r="F409" s="372">
        <v>0</v>
      </c>
      <c r="G409" s="372">
        <v>0</v>
      </c>
      <c r="H409" s="372">
        <v>0</v>
      </c>
      <c r="I409" s="372">
        <v>0</v>
      </c>
      <c r="J409" s="372">
        <v>0</v>
      </c>
      <c r="K409" s="372">
        <v>0</v>
      </c>
      <c r="L409" s="372">
        <v>0</v>
      </c>
      <c r="M409" s="372">
        <v>0</v>
      </c>
      <c r="N409" s="372">
        <v>0</v>
      </c>
      <c r="O409" s="372">
        <v>0</v>
      </c>
      <c r="P409" s="372">
        <v>0</v>
      </c>
      <c r="Q409" s="372">
        <v>0</v>
      </c>
      <c r="R409" s="372">
        <v>0</v>
      </c>
      <c r="S409" s="372">
        <v>0</v>
      </c>
    </row>
    <row r="410" spans="1:19" ht="12.75">
      <c r="A410" s="369" t="s">
        <v>1255</v>
      </c>
      <c r="B410" s="369" t="s">
        <v>74</v>
      </c>
      <c r="C410" s="369" t="s">
        <v>765</v>
      </c>
      <c r="D410" s="372">
        <v>1</v>
      </c>
      <c r="E410" s="372">
        <v>0</v>
      </c>
      <c r="F410" s="372">
        <v>1</v>
      </c>
      <c r="G410" s="372">
        <v>1</v>
      </c>
      <c r="H410" s="372">
        <v>1</v>
      </c>
      <c r="I410" s="372">
        <v>1</v>
      </c>
      <c r="J410" s="372">
        <v>1</v>
      </c>
      <c r="K410" s="372">
        <v>1</v>
      </c>
      <c r="L410" s="372">
        <v>1</v>
      </c>
      <c r="M410" s="372">
        <v>0</v>
      </c>
      <c r="N410" s="372">
        <v>1</v>
      </c>
      <c r="O410" s="372">
        <v>1</v>
      </c>
      <c r="P410" s="372">
        <v>0</v>
      </c>
      <c r="Q410" s="372">
        <v>0</v>
      </c>
      <c r="R410" s="372">
        <v>0</v>
      </c>
      <c r="S410" s="372">
        <v>0</v>
      </c>
    </row>
    <row r="411" spans="1:19" ht="12.75">
      <c r="A411" s="369" t="s">
        <v>1515</v>
      </c>
      <c r="B411" s="369" t="s">
        <v>373</v>
      </c>
      <c r="C411" s="369" t="s">
        <v>766</v>
      </c>
      <c r="D411" s="372">
        <v>0</v>
      </c>
      <c r="E411" s="372">
        <v>0</v>
      </c>
      <c r="F411" s="372">
        <v>0</v>
      </c>
      <c r="G411" s="372">
        <v>0</v>
      </c>
      <c r="H411" s="372">
        <v>0</v>
      </c>
      <c r="I411" s="372">
        <v>0</v>
      </c>
      <c r="J411" s="372">
        <v>0</v>
      </c>
      <c r="K411" s="372">
        <v>0</v>
      </c>
      <c r="L411" s="372">
        <v>0</v>
      </c>
      <c r="M411" s="372">
        <v>0</v>
      </c>
      <c r="N411" s="372">
        <v>0</v>
      </c>
      <c r="O411" s="372">
        <v>0</v>
      </c>
      <c r="P411" s="372">
        <v>0</v>
      </c>
      <c r="Q411" s="372">
        <v>0</v>
      </c>
      <c r="R411" s="372">
        <v>0</v>
      </c>
      <c r="S411" s="372">
        <v>0</v>
      </c>
    </row>
    <row r="412" spans="1:19" ht="12.75">
      <c r="A412" s="369" t="s">
        <v>1517</v>
      </c>
      <c r="B412" s="369" t="s">
        <v>1516</v>
      </c>
      <c r="C412" s="369" t="s">
        <v>767</v>
      </c>
      <c r="D412" s="372">
        <v>0</v>
      </c>
      <c r="E412" s="372">
        <v>0</v>
      </c>
      <c r="F412" s="372">
        <v>0</v>
      </c>
      <c r="G412" s="372">
        <v>0</v>
      </c>
      <c r="H412" s="372">
        <v>0</v>
      </c>
      <c r="I412" s="372">
        <v>0</v>
      </c>
      <c r="J412" s="372">
        <v>0</v>
      </c>
      <c r="K412" s="372">
        <v>0</v>
      </c>
      <c r="L412" s="372">
        <v>0</v>
      </c>
      <c r="M412" s="372">
        <v>0</v>
      </c>
      <c r="N412" s="372">
        <v>0</v>
      </c>
      <c r="O412" s="372">
        <v>0</v>
      </c>
      <c r="P412" s="372">
        <v>0</v>
      </c>
      <c r="Q412" s="372">
        <v>0</v>
      </c>
      <c r="R412" s="372">
        <v>0</v>
      </c>
      <c r="S412" s="372">
        <v>0</v>
      </c>
    </row>
    <row r="413" spans="1:19" ht="12.75">
      <c r="A413" s="369" t="s">
        <v>1294</v>
      </c>
      <c r="B413" s="369" t="s">
        <v>2155</v>
      </c>
      <c r="C413" s="369" t="s">
        <v>768</v>
      </c>
      <c r="D413" s="372">
        <v>0</v>
      </c>
      <c r="E413" s="372">
        <v>0</v>
      </c>
      <c r="F413" s="372">
        <v>0</v>
      </c>
      <c r="G413" s="372">
        <v>0</v>
      </c>
      <c r="H413" s="372">
        <v>0</v>
      </c>
      <c r="I413" s="372">
        <v>0</v>
      </c>
      <c r="J413" s="372">
        <v>0</v>
      </c>
      <c r="K413" s="372">
        <v>0</v>
      </c>
      <c r="L413" s="372">
        <v>0</v>
      </c>
      <c r="M413" s="372">
        <v>0</v>
      </c>
      <c r="N413" s="372">
        <v>0</v>
      </c>
      <c r="O413" s="372">
        <v>0</v>
      </c>
      <c r="P413" s="372">
        <v>0</v>
      </c>
      <c r="Q413" s="372">
        <v>0</v>
      </c>
      <c r="R413" s="372">
        <v>0</v>
      </c>
      <c r="S413" s="372">
        <v>0</v>
      </c>
    </row>
    <row r="414" spans="1:19" ht="12.75">
      <c r="A414" s="369" t="s">
        <v>2006</v>
      </c>
      <c r="B414" s="369" t="s">
        <v>2007</v>
      </c>
      <c r="C414" s="369"/>
      <c r="D414" s="372">
        <v>0</v>
      </c>
      <c r="E414" s="372">
        <v>0</v>
      </c>
      <c r="F414" s="372">
        <v>0</v>
      </c>
      <c r="G414" s="372">
        <v>0</v>
      </c>
      <c r="H414" s="372">
        <v>0</v>
      </c>
      <c r="I414" s="372">
        <v>0</v>
      </c>
      <c r="J414" s="372">
        <v>0</v>
      </c>
      <c r="K414" s="372">
        <v>0</v>
      </c>
      <c r="L414" s="372">
        <v>0</v>
      </c>
      <c r="M414" s="372">
        <v>0</v>
      </c>
      <c r="N414" s="372">
        <v>0</v>
      </c>
      <c r="O414" s="372">
        <v>0</v>
      </c>
      <c r="P414" s="372">
        <v>0</v>
      </c>
      <c r="Q414" s="372">
        <v>0</v>
      </c>
      <c r="R414" s="372">
        <v>0</v>
      </c>
      <c r="S414" s="372">
        <v>0</v>
      </c>
    </row>
    <row r="415" spans="1:19" ht="12.75">
      <c r="A415" s="369" t="s">
        <v>1195</v>
      </c>
      <c r="B415" s="369" t="s">
        <v>1196</v>
      </c>
      <c r="C415" s="369" t="s">
        <v>769</v>
      </c>
      <c r="D415" s="372">
        <v>0</v>
      </c>
      <c r="E415" s="372">
        <v>0</v>
      </c>
      <c r="F415" s="372">
        <v>0</v>
      </c>
      <c r="G415" s="372">
        <v>0</v>
      </c>
      <c r="H415" s="372">
        <v>0</v>
      </c>
      <c r="I415" s="372">
        <v>0</v>
      </c>
      <c r="J415" s="372">
        <v>0</v>
      </c>
      <c r="K415" s="372">
        <v>0</v>
      </c>
      <c r="L415" s="372">
        <v>0</v>
      </c>
      <c r="M415" s="372">
        <v>0</v>
      </c>
      <c r="N415" s="372">
        <v>0</v>
      </c>
      <c r="O415" s="372">
        <v>0</v>
      </c>
      <c r="P415" s="372">
        <v>0</v>
      </c>
      <c r="Q415" s="372">
        <v>0</v>
      </c>
      <c r="R415" s="372">
        <v>0</v>
      </c>
      <c r="S415" s="372">
        <v>0</v>
      </c>
    </row>
    <row r="416" spans="1:19" ht="12.75">
      <c r="A416" s="369" t="s">
        <v>2303</v>
      </c>
      <c r="B416" s="369" t="s">
        <v>2156</v>
      </c>
      <c r="C416" s="369" t="s">
        <v>770</v>
      </c>
      <c r="D416" s="372">
        <v>0</v>
      </c>
      <c r="E416" s="372">
        <v>0</v>
      </c>
      <c r="F416" s="372">
        <v>0</v>
      </c>
      <c r="G416" s="372">
        <v>0</v>
      </c>
      <c r="H416" s="372">
        <v>0</v>
      </c>
      <c r="I416" s="372">
        <v>0</v>
      </c>
      <c r="J416" s="372">
        <v>0</v>
      </c>
      <c r="K416" s="372">
        <v>0</v>
      </c>
      <c r="L416" s="372">
        <v>0</v>
      </c>
      <c r="M416" s="372">
        <v>0</v>
      </c>
      <c r="N416" s="372">
        <v>0</v>
      </c>
      <c r="O416" s="372">
        <v>0</v>
      </c>
      <c r="P416" s="372">
        <v>0</v>
      </c>
      <c r="Q416" s="372">
        <v>0</v>
      </c>
      <c r="R416" s="372">
        <v>0</v>
      </c>
      <c r="S416" s="372">
        <v>0</v>
      </c>
    </row>
    <row r="417" spans="1:19" ht="12.75">
      <c r="A417" s="369" t="s">
        <v>1359</v>
      </c>
      <c r="B417" s="369" t="s">
        <v>1339</v>
      </c>
      <c r="C417" s="369" t="s">
        <v>771</v>
      </c>
      <c r="D417" s="372">
        <v>0</v>
      </c>
      <c r="E417" s="372">
        <v>0</v>
      </c>
      <c r="F417" s="372">
        <v>0</v>
      </c>
      <c r="G417" s="372">
        <v>0</v>
      </c>
      <c r="H417" s="372">
        <v>0</v>
      </c>
      <c r="I417" s="372">
        <v>0</v>
      </c>
      <c r="J417" s="372">
        <v>0</v>
      </c>
      <c r="K417" s="372">
        <v>0</v>
      </c>
      <c r="L417" s="372">
        <v>0</v>
      </c>
      <c r="M417" s="372">
        <v>0</v>
      </c>
      <c r="N417" s="372">
        <v>0</v>
      </c>
      <c r="O417" s="372">
        <v>0</v>
      </c>
      <c r="P417" s="372">
        <v>0</v>
      </c>
      <c r="Q417" s="372">
        <v>0</v>
      </c>
      <c r="R417" s="372">
        <v>0</v>
      </c>
      <c r="S417" s="372">
        <v>0</v>
      </c>
    </row>
    <row r="418" spans="1:19" ht="12.75">
      <c r="A418" s="369" t="s">
        <v>1578</v>
      </c>
      <c r="B418" s="369" t="s">
        <v>1577</v>
      </c>
      <c r="C418" s="369" t="s">
        <v>772</v>
      </c>
      <c r="D418" s="372">
        <v>0</v>
      </c>
      <c r="E418" s="372">
        <v>0</v>
      </c>
      <c r="F418" s="372">
        <v>0</v>
      </c>
      <c r="G418" s="372">
        <v>0</v>
      </c>
      <c r="H418" s="372">
        <v>0</v>
      </c>
      <c r="I418" s="372">
        <v>0</v>
      </c>
      <c r="J418" s="372">
        <v>0</v>
      </c>
      <c r="K418" s="372">
        <v>0</v>
      </c>
      <c r="L418" s="372">
        <v>0</v>
      </c>
      <c r="M418" s="372">
        <v>0</v>
      </c>
      <c r="N418" s="372">
        <v>0</v>
      </c>
      <c r="O418" s="372">
        <v>0</v>
      </c>
      <c r="P418" s="372">
        <v>0</v>
      </c>
      <c r="Q418" s="372">
        <v>0</v>
      </c>
      <c r="R418" s="372">
        <v>0</v>
      </c>
      <c r="S418" s="372">
        <v>0</v>
      </c>
    </row>
    <row r="419" spans="1:19" ht="12.75">
      <c r="A419" s="369" t="s">
        <v>2222</v>
      </c>
      <c r="B419" s="369" t="s">
        <v>2221</v>
      </c>
      <c r="C419" s="369" t="s">
        <v>773</v>
      </c>
      <c r="D419" s="372">
        <v>0</v>
      </c>
      <c r="E419" s="372">
        <v>0</v>
      </c>
      <c r="F419" s="372">
        <v>0</v>
      </c>
      <c r="G419" s="372">
        <v>0</v>
      </c>
      <c r="H419" s="372">
        <v>0</v>
      </c>
      <c r="I419" s="372">
        <v>0</v>
      </c>
      <c r="J419" s="372">
        <v>0</v>
      </c>
      <c r="K419" s="372">
        <v>0</v>
      </c>
      <c r="L419" s="372">
        <v>0</v>
      </c>
      <c r="M419" s="372">
        <v>0</v>
      </c>
      <c r="N419" s="372">
        <v>0</v>
      </c>
      <c r="O419" s="372">
        <v>0</v>
      </c>
      <c r="P419" s="372">
        <v>0</v>
      </c>
      <c r="Q419" s="372">
        <v>0</v>
      </c>
      <c r="R419" s="372">
        <v>0</v>
      </c>
      <c r="S419" s="372">
        <v>0</v>
      </c>
    </row>
    <row r="420" spans="1:19" ht="12.75">
      <c r="A420" s="369" t="s">
        <v>136</v>
      </c>
      <c r="B420" s="369" t="s">
        <v>1796</v>
      </c>
      <c r="C420" s="369" t="s">
        <v>774</v>
      </c>
      <c r="D420" s="372">
        <v>0</v>
      </c>
      <c r="E420" s="372">
        <v>0</v>
      </c>
      <c r="F420" s="372">
        <v>0</v>
      </c>
      <c r="G420" s="372">
        <v>0</v>
      </c>
      <c r="H420" s="372">
        <v>0</v>
      </c>
      <c r="I420" s="372">
        <v>0</v>
      </c>
      <c r="J420" s="372">
        <v>0</v>
      </c>
      <c r="K420" s="372">
        <v>0</v>
      </c>
      <c r="L420" s="372">
        <v>0</v>
      </c>
      <c r="M420" s="372">
        <v>0</v>
      </c>
      <c r="N420" s="372">
        <v>0</v>
      </c>
      <c r="O420" s="372">
        <v>0</v>
      </c>
      <c r="P420" s="372">
        <v>0</v>
      </c>
      <c r="Q420" s="372">
        <v>0</v>
      </c>
      <c r="R420" s="372">
        <v>0</v>
      </c>
      <c r="S420" s="372">
        <v>0</v>
      </c>
    </row>
    <row r="421" spans="1:19" ht="12.75">
      <c r="A421" s="369" t="s">
        <v>1361</v>
      </c>
      <c r="B421" s="369" t="s">
        <v>1360</v>
      </c>
      <c r="C421" s="369" t="s">
        <v>775</v>
      </c>
      <c r="D421" s="372">
        <v>0</v>
      </c>
      <c r="E421" s="372">
        <v>0</v>
      </c>
      <c r="F421" s="372">
        <v>0</v>
      </c>
      <c r="G421" s="372">
        <v>0</v>
      </c>
      <c r="H421" s="372">
        <v>0</v>
      </c>
      <c r="I421" s="372">
        <v>0</v>
      </c>
      <c r="J421" s="372">
        <v>0</v>
      </c>
      <c r="K421" s="372">
        <v>0</v>
      </c>
      <c r="L421" s="372">
        <v>0</v>
      </c>
      <c r="M421" s="372">
        <v>0</v>
      </c>
      <c r="N421" s="372">
        <v>0</v>
      </c>
      <c r="O421" s="372">
        <v>0</v>
      </c>
      <c r="P421" s="372">
        <v>0</v>
      </c>
      <c r="Q421" s="372">
        <v>0</v>
      </c>
      <c r="R421" s="372">
        <v>0</v>
      </c>
      <c r="S421" s="372">
        <v>0</v>
      </c>
    </row>
    <row r="422" spans="1:19" ht="12.75">
      <c r="A422" s="369" t="s">
        <v>1690</v>
      </c>
      <c r="B422" s="369" t="s">
        <v>1995</v>
      </c>
      <c r="C422" s="369" t="s">
        <v>776</v>
      </c>
      <c r="D422" s="372">
        <v>0</v>
      </c>
      <c r="E422" s="372">
        <v>0</v>
      </c>
      <c r="F422" s="372">
        <v>0</v>
      </c>
      <c r="G422" s="372">
        <v>0</v>
      </c>
      <c r="H422" s="372">
        <v>0</v>
      </c>
      <c r="I422" s="372">
        <v>0</v>
      </c>
      <c r="J422" s="372">
        <v>0</v>
      </c>
      <c r="K422" s="372">
        <v>0</v>
      </c>
      <c r="L422" s="372">
        <v>0</v>
      </c>
      <c r="M422" s="372">
        <v>0</v>
      </c>
      <c r="N422" s="372">
        <v>0</v>
      </c>
      <c r="O422" s="372">
        <v>0</v>
      </c>
      <c r="P422" s="372">
        <v>0</v>
      </c>
      <c r="Q422" s="372">
        <v>0</v>
      </c>
      <c r="R422" s="372">
        <v>0</v>
      </c>
      <c r="S422" s="372">
        <v>0</v>
      </c>
    </row>
    <row r="423" spans="1:19" ht="12.75">
      <c r="A423" s="369" t="s">
        <v>2065</v>
      </c>
      <c r="B423" s="369" t="s">
        <v>1831</v>
      </c>
      <c r="C423" s="369"/>
      <c r="D423" s="372">
        <v>0</v>
      </c>
      <c r="E423" s="372">
        <v>0</v>
      </c>
      <c r="F423" s="372">
        <v>0</v>
      </c>
      <c r="G423" s="372">
        <v>0</v>
      </c>
      <c r="H423" s="372">
        <v>0</v>
      </c>
      <c r="I423" s="372">
        <v>0</v>
      </c>
      <c r="J423" s="372">
        <v>0</v>
      </c>
      <c r="K423" s="372">
        <v>0</v>
      </c>
      <c r="L423" s="372">
        <v>0</v>
      </c>
      <c r="M423" s="372">
        <v>0</v>
      </c>
      <c r="N423" s="372">
        <v>0</v>
      </c>
      <c r="O423" s="372">
        <v>0</v>
      </c>
      <c r="P423" s="372">
        <v>0</v>
      </c>
      <c r="Q423" s="372">
        <v>0</v>
      </c>
      <c r="R423" s="372">
        <v>0</v>
      </c>
      <c r="S423" s="372">
        <v>0</v>
      </c>
    </row>
    <row r="424" spans="1:19" ht="12.75">
      <c r="A424" s="369" t="s">
        <v>103</v>
      </c>
      <c r="B424" s="369" t="s">
        <v>2157</v>
      </c>
      <c r="C424" s="369" t="s">
        <v>777</v>
      </c>
      <c r="D424" s="372">
        <v>0</v>
      </c>
      <c r="E424" s="372">
        <v>0</v>
      </c>
      <c r="F424" s="372">
        <v>0</v>
      </c>
      <c r="G424" s="372">
        <v>0</v>
      </c>
      <c r="H424" s="372">
        <v>0</v>
      </c>
      <c r="I424" s="372">
        <v>0</v>
      </c>
      <c r="J424" s="372">
        <v>0</v>
      </c>
      <c r="K424" s="372">
        <v>0</v>
      </c>
      <c r="L424" s="372">
        <v>0</v>
      </c>
      <c r="M424" s="372">
        <v>1</v>
      </c>
      <c r="N424" s="372">
        <v>0</v>
      </c>
      <c r="O424" s="372">
        <v>0</v>
      </c>
      <c r="P424" s="372">
        <v>0</v>
      </c>
      <c r="Q424" s="372">
        <v>0</v>
      </c>
      <c r="R424" s="372">
        <v>0</v>
      </c>
      <c r="S424" s="372">
        <v>0</v>
      </c>
    </row>
    <row r="425" spans="1:19" ht="12.75">
      <c r="A425" s="369" t="s">
        <v>2305</v>
      </c>
      <c r="B425" s="369" t="s">
        <v>75</v>
      </c>
      <c r="C425" s="369" t="s">
        <v>778</v>
      </c>
      <c r="D425" s="372">
        <v>1</v>
      </c>
      <c r="E425" s="372">
        <v>0</v>
      </c>
      <c r="F425" s="372">
        <v>0</v>
      </c>
      <c r="G425" s="372">
        <v>1</v>
      </c>
      <c r="H425" s="372">
        <v>1</v>
      </c>
      <c r="I425" s="372">
        <v>1</v>
      </c>
      <c r="J425" s="372">
        <v>0</v>
      </c>
      <c r="K425" s="372">
        <v>0</v>
      </c>
      <c r="L425" s="372">
        <v>0</v>
      </c>
      <c r="M425" s="372">
        <v>1</v>
      </c>
      <c r="N425" s="372">
        <v>0</v>
      </c>
      <c r="O425" s="372">
        <v>0</v>
      </c>
      <c r="P425" s="372">
        <v>1</v>
      </c>
      <c r="Q425" s="372">
        <v>0</v>
      </c>
      <c r="R425" s="372">
        <v>0</v>
      </c>
      <c r="S425" s="372">
        <v>0</v>
      </c>
    </row>
    <row r="426" spans="1:19" ht="12.75">
      <c r="A426" s="369" t="s">
        <v>1589</v>
      </c>
      <c r="B426" s="369" t="s">
        <v>76</v>
      </c>
      <c r="C426" s="369" t="s">
        <v>779</v>
      </c>
      <c r="D426" s="372">
        <v>1</v>
      </c>
      <c r="E426" s="372">
        <v>1</v>
      </c>
      <c r="F426" s="372">
        <v>0</v>
      </c>
      <c r="G426" s="372">
        <v>1</v>
      </c>
      <c r="H426" s="372">
        <v>1</v>
      </c>
      <c r="I426" s="372">
        <v>1</v>
      </c>
      <c r="J426" s="372">
        <v>1</v>
      </c>
      <c r="K426" s="372">
        <v>1</v>
      </c>
      <c r="L426" s="372">
        <v>0</v>
      </c>
      <c r="M426" s="372">
        <v>0</v>
      </c>
      <c r="N426" s="372">
        <v>1</v>
      </c>
      <c r="O426" s="372">
        <v>1</v>
      </c>
      <c r="P426" s="372">
        <v>1</v>
      </c>
      <c r="Q426" s="372">
        <v>0</v>
      </c>
      <c r="R426" s="372">
        <v>0</v>
      </c>
      <c r="S426" s="372">
        <v>0</v>
      </c>
    </row>
    <row r="427" spans="1:19" ht="12.75">
      <c r="A427" s="369" t="s">
        <v>1590</v>
      </c>
      <c r="B427" s="369" t="s">
        <v>77</v>
      </c>
      <c r="C427" s="369" t="s">
        <v>780</v>
      </c>
      <c r="D427" s="372">
        <v>0</v>
      </c>
      <c r="E427" s="372">
        <v>0</v>
      </c>
      <c r="F427" s="372">
        <v>0</v>
      </c>
      <c r="G427" s="372">
        <v>0</v>
      </c>
      <c r="H427" s="372">
        <v>0</v>
      </c>
      <c r="I427" s="372">
        <v>0</v>
      </c>
      <c r="J427" s="372">
        <v>0</v>
      </c>
      <c r="K427" s="372">
        <v>0</v>
      </c>
      <c r="L427" s="372">
        <v>0</v>
      </c>
      <c r="M427" s="372">
        <v>0</v>
      </c>
      <c r="N427" s="372">
        <v>0</v>
      </c>
      <c r="O427" s="372">
        <v>0</v>
      </c>
      <c r="P427" s="372">
        <v>0</v>
      </c>
      <c r="Q427" s="372">
        <v>0</v>
      </c>
      <c r="R427" s="372">
        <v>0</v>
      </c>
      <c r="S427" s="372">
        <v>0</v>
      </c>
    </row>
    <row r="428" spans="1:19" ht="12.75">
      <c r="A428" s="369" t="s">
        <v>1591</v>
      </c>
      <c r="B428" s="369" t="s">
        <v>78</v>
      </c>
      <c r="C428" s="369" t="s">
        <v>781</v>
      </c>
      <c r="D428" s="372">
        <v>1</v>
      </c>
      <c r="E428" s="372">
        <v>1</v>
      </c>
      <c r="F428" s="372">
        <v>1</v>
      </c>
      <c r="G428" s="372">
        <v>1</v>
      </c>
      <c r="H428" s="372">
        <v>1</v>
      </c>
      <c r="I428" s="372">
        <v>1</v>
      </c>
      <c r="J428" s="372">
        <v>1</v>
      </c>
      <c r="K428" s="372">
        <v>1</v>
      </c>
      <c r="L428" s="372">
        <v>1</v>
      </c>
      <c r="M428" s="372">
        <v>1</v>
      </c>
      <c r="N428" s="372">
        <v>1</v>
      </c>
      <c r="O428" s="372">
        <v>1</v>
      </c>
      <c r="P428" s="372">
        <v>1</v>
      </c>
      <c r="Q428" s="372">
        <v>1</v>
      </c>
      <c r="R428" s="372">
        <v>1</v>
      </c>
      <c r="S428" s="372">
        <v>1</v>
      </c>
    </row>
    <row r="429" spans="1:19" ht="12.75">
      <c r="A429" s="369" t="s">
        <v>2356</v>
      </c>
      <c r="B429" s="369" t="s">
        <v>782</v>
      </c>
      <c r="C429" s="369"/>
      <c r="D429" s="372">
        <v>0</v>
      </c>
      <c r="E429" s="372">
        <v>0</v>
      </c>
      <c r="F429" s="372">
        <v>0</v>
      </c>
      <c r="G429" s="372">
        <v>0</v>
      </c>
      <c r="H429" s="372">
        <v>0</v>
      </c>
      <c r="I429" s="372">
        <v>0</v>
      </c>
      <c r="J429" s="372">
        <v>0</v>
      </c>
      <c r="K429" s="372">
        <v>0</v>
      </c>
      <c r="L429" s="372">
        <v>0</v>
      </c>
      <c r="M429" s="372">
        <v>0</v>
      </c>
      <c r="N429" s="372">
        <v>0</v>
      </c>
      <c r="O429" s="372">
        <v>0</v>
      </c>
      <c r="P429" s="372">
        <v>0</v>
      </c>
      <c r="Q429" s="372">
        <v>0</v>
      </c>
      <c r="R429" s="372">
        <v>0</v>
      </c>
      <c r="S429" s="372">
        <v>0</v>
      </c>
    </row>
    <row r="430" spans="1:19" ht="12.75">
      <c r="A430" s="369" t="s">
        <v>2008</v>
      </c>
      <c r="B430" s="369" t="s">
        <v>2009</v>
      </c>
      <c r="C430" s="369"/>
      <c r="D430" s="372">
        <v>0</v>
      </c>
      <c r="E430" s="372">
        <v>0</v>
      </c>
      <c r="F430" s="372">
        <v>0</v>
      </c>
      <c r="G430" s="372">
        <v>0</v>
      </c>
      <c r="H430" s="372">
        <v>0</v>
      </c>
      <c r="I430" s="372">
        <v>0</v>
      </c>
      <c r="J430" s="372">
        <v>0</v>
      </c>
      <c r="K430" s="372">
        <v>0</v>
      </c>
      <c r="L430" s="372">
        <v>0</v>
      </c>
      <c r="M430" s="372">
        <v>0</v>
      </c>
      <c r="N430" s="372">
        <v>0</v>
      </c>
      <c r="O430" s="372">
        <v>0</v>
      </c>
      <c r="P430" s="372">
        <v>0</v>
      </c>
      <c r="Q430" s="372">
        <v>0</v>
      </c>
      <c r="R430" s="372">
        <v>0</v>
      </c>
      <c r="S430" s="372">
        <v>0</v>
      </c>
    </row>
    <row r="431" spans="1:19" ht="12.75">
      <c r="A431" s="369" t="s">
        <v>1592</v>
      </c>
      <c r="B431" s="369" t="s">
        <v>79</v>
      </c>
      <c r="C431" s="369" t="s">
        <v>783</v>
      </c>
      <c r="D431" s="372">
        <v>0</v>
      </c>
      <c r="E431" s="372">
        <v>0</v>
      </c>
      <c r="F431" s="372">
        <v>0</v>
      </c>
      <c r="G431" s="372">
        <v>0</v>
      </c>
      <c r="H431" s="372">
        <v>0</v>
      </c>
      <c r="I431" s="372">
        <v>0</v>
      </c>
      <c r="J431" s="372">
        <v>0</v>
      </c>
      <c r="K431" s="372">
        <v>0</v>
      </c>
      <c r="L431" s="372">
        <v>0</v>
      </c>
      <c r="M431" s="372">
        <v>0</v>
      </c>
      <c r="N431" s="372">
        <v>0</v>
      </c>
      <c r="O431" s="372">
        <v>0</v>
      </c>
      <c r="P431" s="372">
        <v>0</v>
      </c>
      <c r="Q431" s="372">
        <v>0</v>
      </c>
      <c r="R431" s="372">
        <v>0</v>
      </c>
      <c r="S431" s="372">
        <v>0</v>
      </c>
    </row>
    <row r="432" spans="1:19" ht="12.75">
      <c r="A432" s="369" t="s">
        <v>2358</v>
      </c>
      <c r="B432" s="369" t="s">
        <v>2357</v>
      </c>
      <c r="C432" s="369" t="s">
        <v>784</v>
      </c>
      <c r="D432" s="372">
        <v>0</v>
      </c>
      <c r="E432" s="372">
        <v>0</v>
      </c>
      <c r="F432" s="372">
        <v>0</v>
      </c>
      <c r="G432" s="372">
        <v>0</v>
      </c>
      <c r="H432" s="372">
        <v>0</v>
      </c>
      <c r="I432" s="372">
        <v>0</v>
      </c>
      <c r="J432" s="372">
        <v>0</v>
      </c>
      <c r="K432" s="372">
        <v>0</v>
      </c>
      <c r="L432" s="372">
        <v>0</v>
      </c>
      <c r="M432" s="372">
        <v>0</v>
      </c>
      <c r="N432" s="372">
        <v>0</v>
      </c>
      <c r="O432" s="372">
        <v>0</v>
      </c>
      <c r="P432" s="372">
        <v>0</v>
      </c>
      <c r="Q432" s="372">
        <v>0</v>
      </c>
      <c r="R432" s="372">
        <v>0</v>
      </c>
      <c r="S432" s="372">
        <v>0</v>
      </c>
    </row>
    <row r="433" spans="1:19" ht="12.75">
      <c r="A433" s="369" t="s">
        <v>2360</v>
      </c>
      <c r="B433" s="369" t="s">
        <v>2359</v>
      </c>
      <c r="C433" s="369" t="s">
        <v>785</v>
      </c>
      <c r="D433" s="372">
        <v>0</v>
      </c>
      <c r="E433" s="372">
        <v>0</v>
      </c>
      <c r="F433" s="372">
        <v>0</v>
      </c>
      <c r="G433" s="372">
        <v>0</v>
      </c>
      <c r="H433" s="372">
        <v>0</v>
      </c>
      <c r="I433" s="372">
        <v>0</v>
      </c>
      <c r="J433" s="372">
        <v>0</v>
      </c>
      <c r="K433" s="372">
        <v>0</v>
      </c>
      <c r="L433" s="372">
        <v>0</v>
      </c>
      <c r="M433" s="372">
        <v>0</v>
      </c>
      <c r="N433" s="372">
        <v>0</v>
      </c>
      <c r="O433" s="372">
        <v>0</v>
      </c>
      <c r="P433" s="372">
        <v>0</v>
      </c>
      <c r="Q433" s="372">
        <v>0</v>
      </c>
      <c r="R433" s="372">
        <v>0</v>
      </c>
      <c r="S433" s="372">
        <v>0</v>
      </c>
    </row>
    <row r="434" spans="1:19" ht="12.75">
      <c r="A434" s="369" t="s">
        <v>1663</v>
      </c>
      <c r="B434" s="369" t="s">
        <v>786</v>
      </c>
      <c r="C434" s="369" t="s">
        <v>787</v>
      </c>
      <c r="D434" s="372">
        <v>0</v>
      </c>
      <c r="E434" s="372">
        <v>0</v>
      </c>
      <c r="F434" s="372">
        <v>0</v>
      </c>
      <c r="G434" s="372">
        <v>0</v>
      </c>
      <c r="H434" s="372">
        <v>0</v>
      </c>
      <c r="I434" s="372">
        <v>0</v>
      </c>
      <c r="J434" s="372">
        <v>0</v>
      </c>
      <c r="K434" s="372">
        <v>0</v>
      </c>
      <c r="L434" s="372">
        <v>0</v>
      </c>
      <c r="M434" s="372">
        <v>0</v>
      </c>
      <c r="N434" s="372">
        <v>0</v>
      </c>
      <c r="O434" s="372">
        <v>0</v>
      </c>
      <c r="P434" s="372">
        <v>0</v>
      </c>
      <c r="Q434" s="372">
        <v>0</v>
      </c>
      <c r="R434" s="372">
        <v>0</v>
      </c>
      <c r="S434" s="372">
        <v>0</v>
      </c>
    </row>
    <row r="435" spans="1:19" ht="12.75">
      <c r="A435" s="369" t="s">
        <v>1198</v>
      </c>
      <c r="B435" s="369" t="s">
        <v>788</v>
      </c>
      <c r="C435" s="369"/>
      <c r="D435" s="372">
        <v>0</v>
      </c>
      <c r="E435" s="372">
        <v>0</v>
      </c>
      <c r="F435" s="372">
        <v>0</v>
      </c>
      <c r="G435" s="372">
        <v>0</v>
      </c>
      <c r="H435" s="372">
        <v>0</v>
      </c>
      <c r="I435" s="372">
        <v>0</v>
      </c>
      <c r="J435" s="372">
        <v>0</v>
      </c>
      <c r="K435" s="372">
        <v>0</v>
      </c>
      <c r="L435" s="372">
        <v>0</v>
      </c>
      <c r="M435" s="372">
        <v>0</v>
      </c>
      <c r="N435" s="372">
        <v>0</v>
      </c>
      <c r="O435" s="372">
        <v>0</v>
      </c>
      <c r="P435" s="372">
        <v>0</v>
      </c>
      <c r="Q435" s="372">
        <v>0</v>
      </c>
      <c r="R435" s="372">
        <v>0</v>
      </c>
      <c r="S435" s="372">
        <v>0</v>
      </c>
    </row>
    <row r="436" spans="1:19" ht="12.75">
      <c r="A436" s="369" t="s">
        <v>1998</v>
      </c>
      <c r="B436" s="369" t="s">
        <v>1664</v>
      </c>
      <c r="C436" s="369"/>
      <c r="D436" s="372">
        <v>0</v>
      </c>
      <c r="E436" s="372">
        <v>0</v>
      </c>
      <c r="F436" s="372">
        <v>0</v>
      </c>
      <c r="G436" s="372">
        <v>0</v>
      </c>
      <c r="H436" s="372">
        <v>0</v>
      </c>
      <c r="I436" s="372">
        <v>0</v>
      </c>
      <c r="J436" s="372">
        <v>0</v>
      </c>
      <c r="K436" s="372">
        <v>0</v>
      </c>
      <c r="L436" s="372">
        <v>0</v>
      </c>
      <c r="M436" s="372">
        <v>0</v>
      </c>
      <c r="N436" s="372">
        <v>0</v>
      </c>
      <c r="O436" s="372">
        <v>0</v>
      </c>
      <c r="P436" s="372">
        <v>0</v>
      </c>
      <c r="Q436" s="372">
        <v>0</v>
      </c>
      <c r="R436" s="372">
        <v>0</v>
      </c>
      <c r="S436" s="372">
        <v>0</v>
      </c>
    </row>
    <row r="437" spans="1:19" ht="12.75">
      <c r="A437" s="369" t="s">
        <v>2163</v>
      </c>
      <c r="B437" s="369" t="s">
        <v>1999</v>
      </c>
      <c r="C437" s="369" t="s">
        <v>789</v>
      </c>
      <c r="D437" s="372">
        <v>0</v>
      </c>
      <c r="E437" s="372">
        <v>0</v>
      </c>
      <c r="F437" s="372">
        <v>0</v>
      </c>
      <c r="G437" s="372">
        <v>0</v>
      </c>
      <c r="H437" s="372">
        <v>0</v>
      </c>
      <c r="I437" s="372">
        <v>0</v>
      </c>
      <c r="J437" s="372">
        <v>0</v>
      </c>
      <c r="K437" s="372">
        <v>0</v>
      </c>
      <c r="L437" s="372">
        <v>0</v>
      </c>
      <c r="M437" s="372">
        <v>0</v>
      </c>
      <c r="N437" s="372">
        <v>0</v>
      </c>
      <c r="O437" s="372">
        <v>0</v>
      </c>
      <c r="P437" s="372">
        <v>0</v>
      </c>
      <c r="Q437" s="372">
        <v>0</v>
      </c>
      <c r="R437" s="372">
        <v>0</v>
      </c>
      <c r="S437" s="372">
        <v>0</v>
      </c>
    </row>
    <row r="438" spans="1:19" ht="12.75">
      <c r="A438" s="369" t="s">
        <v>96</v>
      </c>
      <c r="B438" s="369" t="s">
        <v>1921</v>
      </c>
      <c r="C438" s="369" t="s">
        <v>790</v>
      </c>
      <c r="D438" s="372">
        <v>0</v>
      </c>
      <c r="E438" s="372">
        <v>0</v>
      </c>
      <c r="F438" s="372">
        <v>0</v>
      </c>
      <c r="G438" s="372">
        <v>0</v>
      </c>
      <c r="H438" s="372">
        <v>0</v>
      </c>
      <c r="I438" s="372">
        <v>0</v>
      </c>
      <c r="J438" s="372">
        <v>0</v>
      </c>
      <c r="K438" s="372">
        <v>0</v>
      </c>
      <c r="L438" s="372">
        <v>0</v>
      </c>
      <c r="M438" s="372">
        <v>0</v>
      </c>
      <c r="N438" s="372">
        <v>0</v>
      </c>
      <c r="O438" s="372">
        <v>0</v>
      </c>
      <c r="P438" s="372">
        <v>0</v>
      </c>
      <c r="Q438" s="372">
        <v>0</v>
      </c>
      <c r="R438" s="372">
        <v>0</v>
      </c>
      <c r="S438" s="372">
        <v>0</v>
      </c>
    </row>
    <row r="439" spans="1:19" ht="12.75">
      <c r="A439" s="369" t="s">
        <v>98</v>
      </c>
      <c r="B439" s="369" t="s">
        <v>97</v>
      </c>
      <c r="C439" s="369" t="s">
        <v>791</v>
      </c>
      <c r="D439" s="372">
        <v>0</v>
      </c>
      <c r="E439" s="372">
        <v>0</v>
      </c>
      <c r="F439" s="372">
        <v>0</v>
      </c>
      <c r="G439" s="372">
        <v>0</v>
      </c>
      <c r="H439" s="372">
        <v>0</v>
      </c>
      <c r="I439" s="372">
        <v>0</v>
      </c>
      <c r="J439" s="372">
        <v>0</v>
      </c>
      <c r="K439" s="372">
        <v>0</v>
      </c>
      <c r="L439" s="372">
        <v>0</v>
      </c>
      <c r="M439" s="372">
        <v>0</v>
      </c>
      <c r="N439" s="372">
        <v>0</v>
      </c>
      <c r="O439" s="372">
        <v>0</v>
      </c>
      <c r="P439" s="372">
        <v>0</v>
      </c>
      <c r="Q439" s="372">
        <v>0</v>
      </c>
      <c r="R439" s="372">
        <v>0</v>
      </c>
      <c r="S439" s="372">
        <v>0</v>
      </c>
    </row>
    <row r="440" spans="1:19" ht="12.75">
      <c r="A440" s="369" t="s">
        <v>2362</v>
      </c>
      <c r="B440" s="369" t="s">
        <v>2361</v>
      </c>
      <c r="C440" s="369" t="s">
        <v>792</v>
      </c>
      <c r="D440" s="372">
        <v>0</v>
      </c>
      <c r="E440" s="372">
        <v>0</v>
      </c>
      <c r="F440" s="372">
        <v>0</v>
      </c>
      <c r="G440" s="372">
        <v>0</v>
      </c>
      <c r="H440" s="372">
        <v>0</v>
      </c>
      <c r="I440" s="372">
        <v>0</v>
      </c>
      <c r="J440" s="372">
        <v>0</v>
      </c>
      <c r="K440" s="372">
        <v>0</v>
      </c>
      <c r="L440" s="372">
        <v>0</v>
      </c>
      <c r="M440" s="372">
        <v>0</v>
      </c>
      <c r="N440" s="372">
        <v>0</v>
      </c>
      <c r="O440" s="372">
        <v>0</v>
      </c>
      <c r="P440" s="372">
        <v>0</v>
      </c>
      <c r="Q440" s="372">
        <v>0</v>
      </c>
      <c r="R440" s="372">
        <v>0</v>
      </c>
      <c r="S440" s="372">
        <v>0</v>
      </c>
    </row>
    <row r="441" spans="1:19" ht="12.75">
      <c r="A441" s="369" t="s">
        <v>1593</v>
      </c>
      <c r="B441" s="369" t="s">
        <v>80</v>
      </c>
      <c r="C441" s="369" t="s">
        <v>793</v>
      </c>
      <c r="D441" s="372">
        <v>1</v>
      </c>
      <c r="E441" s="372">
        <v>1</v>
      </c>
      <c r="F441" s="372">
        <v>0</v>
      </c>
      <c r="G441" s="372">
        <v>0</v>
      </c>
      <c r="H441" s="372">
        <v>0</v>
      </c>
      <c r="I441" s="372">
        <v>1</v>
      </c>
      <c r="J441" s="372">
        <v>1</v>
      </c>
      <c r="K441" s="372">
        <v>1</v>
      </c>
      <c r="L441" s="372">
        <v>1</v>
      </c>
      <c r="M441" s="372">
        <v>1</v>
      </c>
      <c r="N441" s="372">
        <v>1</v>
      </c>
      <c r="O441" s="372">
        <v>0</v>
      </c>
      <c r="P441" s="372">
        <v>1</v>
      </c>
      <c r="Q441" s="372">
        <v>1</v>
      </c>
      <c r="R441" s="372">
        <v>1</v>
      </c>
      <c r="S441" s="372">
        <v>1</v>
      </c>
    </row>
    <row r="442" spans="1:19" ht="12.75">
      <c r="A442" s="369" t="s">
        <v>99</v>
      </c>
      <c r="B442" s="369" t="s">
        <v>2158</v>
      </c>
      <c r="C442" s="369" t="s">
        <v>794</v>
      </c>
      <c r="D442" s="372">
        <v>0</v>
      </c>
      <c r="E442" s="372">
        <v>0</v>
      </c>
      <c r="F442" s="372">
        <v>0</v>
      </c>
      <c r="G442" s="372">
        <v>0</v>
      </c>
      <c r="H442" s="372">
        <v>0</v>
      </c>
      <c r="I442" s="372">
        <v>0</v>
      </c>
      <c r="J442" s="372">
        <v>0</v>
      </c>
      <c r="K442" s="372">
        <v>0</v>
      </c>
      <c r="L442" s="372">
        <v>0</v>
      </c>
      <c r="M442" s="372">
        <v>0</v>
      </c>
      <c r="N442" s="372">
        <v>0</v>
      </c>
      <c r="O442" s="372">
        <v>0</v>
      </c>
      <c r="P442" s="372">
        <v>0</v>
      </c>
      <c r="Q442" s="372">
        <v>0</v>
      </c>
      <c r="R442" s="372">
        <v>0</v>
      </c>
      <c r="S442" s="372">
        <v>0</v>
      </c>
    </row>
    <row r="443" spans="1:19" ht="12.75">
      <c r="A443" s="369" t="s">
        <v>2167</v>
      </c>
      <c r="B443" s="369" t="s">
        <v>100</v>
      </c>
      <c r="C443" s="369"/>
      <c r="D443" s="372">
        <v>0</v>
      </c>
      <c r="E443" s="372">
        <v>0</v>
      </c>
      <c r="F443" s="372">
        <v>0</v>
      </c>
      <c r="G443" s="372">
        <v>0</v>
      </c>
      <c r="H443" s="372">
        <v>0</v>
      </c>
      <c r="I443" s="372">
        <v>0</v>
      </c>
      <c r="J443" s="372">
        <v>0</v>
      </c>
      <c r="K443" s="372">
        <v>0</v>
      </c>
      <c r="L443" s="372">
        <v>0</v>
      </c>
      <c r="M443" s="372">
        <v>0</v>
      </c>
      <c r="N443" s="372">
        <v>0</v>
      </c>
      <c r="O443" s="372">
        <v>0</v>
      </c>
      <c r="P443" s="372">
        <v>0</v>
      </c>
      <c r="Q443" s="372">
        <v>0</v>
      </c>
      <c r="R443" s="372">
        <v>0</v>
      </c>
      <c r="S443" s="372">
        <v>0</v>
      </c>
    </row>
    <row r="444" spans="1:19" ht="12.75">
      <c r="A444" s="369" t="s">
        <v>2273</v>
      </c>
      <c r="B444" s="369" t="s">
        <v>2274</v>
      </c>
      <c r="C444" s="369"/>
      <c r="D444" s="372">
        <v>0</v>
      </c>
      <c r="E444" s="372">
        <v>0</v>
      </c>
      <c r="F444" s="372">
        <v>0</v>
      </c>
      <c r="G444" s="372">
        <v>0</v>
      </c>
      <c r="H444" s="372">
        <v>0</v>
      </c>
      <c r="I444" s="372">
        <v>0</v>
      </c>
      <c r="J444" s="372">
        <v>0</v>
      </c>
      <c r="K444" s="372">
        <v>0</v>
      </c>
      <c r="L444" s="372">
        <v>0</v>
      </c>
      <c r="M444" s="372">
        <v>0</v>
      </c>
      <c r="N444" s="372">
        <v>0</v>
      </c>
      <c r="O444" s="372">
        <v>0</v>
      </c>
      <c r="P444" s="372">
        <v>0</v>
      </c>
      <c r="Q444" s="372">
        <v>0</v>
      </c>
      <c r="R444" s="372">
        <v>0</v>
      </c>
      <c r="S444" s="372">
        <v>0</v>
      </c>
    </row>
    <row r="445" spans="1:19" ht="12.75">
      <c r="A445" s="369" t="s">
        <v>1822</v>
      </c>
      <c r="B445" s="369" t="s">
        <v>1821</v>
      </c>
      <c r="C445" s="369" t="s">
        <v>795</v>
      </c>
      <c r="D445" s="372">
        <v>0</v>
      </c>
      <c r="E445" s="372">
        <v>0</v>
      </c>
      <c r="F445" s="372">
        <v>0</v>
      </c>
      <c r="G445" s="372">
        <v>0</v>
      </c>
      <c r="H445" s="372">
        <v>0</v>
      </c>
      <c r="I445" s="372">
        <v>0</v>
      </c>
      <c r="J445" s="372">
        <v>0</v>
      </c>
      <c r="K445" s="372">
        <v>0</v>
      </c>
      <c r="L445" s="372">
        <v>0</v>
      </c>
      <c r="M445" s="372">
        <v>0</v>
      </c>
      <c r="N445" s="372">
        <v>0</v>
      </c>
      <c r="O445" s="372">
        <v>0</v>
      </c>
      <c r="P445" s="372">
        <v>0</v>
      </c>
      <c r="Q445" s="372">
        <v>0</v>
      </c>
      <c r="R445" s="372">
        <v>0</v>
      </c>
      <c r="S445" s="372">
        <v>0</v>
      </c>
    </row>
    <row r="446" spans="1:19" ht="12.75">
      <c r="A446" s="369" t="s">
        <v>1930</v>
      </c>
      <c r="B446" s="369" t="s">
        <v>81</v>
      </c>
      <c r="C446" s="369" t="s">
        <v>796</v>
      </c>
      <c r="D446" s="372">
        <v>0</v>
      </c>
      <c r="E446" s="372">
        <v>0</v>
      </c>
      <c r="F446" s="372">
        <v>0</v>
      </c>
      <c r="G446" s="372">
        <v>0</v>
      </c>
      <c r="H446" s="372">
        <v>0</v>
      </c>
      <c r="I446" s="372">
        <v>0</v>
      </c>
      <c r="J446" s="372">
        <v>0</v>
      </c>
      <c r="K446" s="372">
        <v>0</v>
      </c>
      <c r="L446" s="372">
        <v>0</v>
      </c>
      <c r="M446" s="372">
        <v>0</v>
      </c>
      <c r="N446" s="372">
        <v>0</v>
      </c>
      <c r="O446" s="372">
        <v>0</v>
      </c>
      <c r="P446" s="372">
        <v>0</v>
      </c>
      <c r="Q446" s="372">
        <v>0</v>
      </c>
      <c r="R446" s="372">
        <v>0</v>
      </c>
      <c r="S446" s="372">
        <v>0</v>
      </c>
    </row>
    <row r="447" spans="1:19" ht="12.75">
      <c r="A447" s="369" t="s">
        <v>1405</v>
      </c>
      <c r="B447" s="369" t="s">
        <v>1404</v>
      </c>
      <c r="C447" s="369" t="s">
        <v>797</v>
      </c>
      <c r="D447" s="372">
        <v>0</v>
      </c>
      <c r="E447" s="372">
        <v>0</v>
      </c>
      <c r="F447" s="372">
        <v>0</v>
      </c>
      <c r="G447" s="372">
        <v>0</v>
      </c>
      <c r="H447" s="372">
        <v>0</v>
      </c>
      <c r="I447" s="372">
        <v>0</v>
      </c>
      <c r="J447" s="372">
        <v>0</v>
      </c>
      <c r="K447" s="372">
        <v>0</v>
      </c>
      <c r="L447" s="372">
        <v>0</v>
      </c>
      <c r="M447" s="372">
        <v>0</v>
      </c>
      <c r="N447" s="372">
        <v>0</v>
      </c>
      <c r="O447" s="372">
        <v>0</v>
      </c>
      <c r="P447" s="372">
        <v>0</v>
      </c>
      <c r="Q447" s="372">
        <v>0</v>
      </c>
      <c r="R447" s="372">
        <v>0</v>
      </c>
      <c r="S447" s="372">
        <v>0</v>
      </c>
    </row>
    <row r="448" spans="1:19" ht="12.75">
      <c r="A448" s="369" t="s">
        <v>1931</v>
      </c>
      <c r="B448" s="369" t="s">
        <v>2159</v>
      </c>
      <c r="C448" s="369" t="s">
        <v>798</v>
      </c>
      <c r="D448" s="372">
        <v>0</v>
      </c>
      <c r="E448" s="372">
        <v>0</v>
      </c>
      <c r="F448" s="372">
        <v>0</v>
      </c>
      <c r="G448" s="372">
        <v>0</v>
      </c>
      <c r="H448" s="372">
        <v>0</v>
      </c>
      <c r="I448" s="372">
        <v>0</v>
      </c>
      <c r="J448" s="372">
        <v>0</v>
      </c>
      <c r="K448" s="372">
        <v>0</v>
      </c>
      <c r="L448" s="372">
        <v>0</v>
      </c>
      <c r="M448" s="372">
        <v>0</v>
      </c>
      <c r="N448" s="372">
        <v>0</v>
      </c>
      <c r="O448" s="372">
        <v>0</v>
      </c>
      <c r="P448" s="372">
        <v>0</v>
      </c>
      <c r="Q448" s="372">
        <v>0</v>
      </c>
      <c r="R448" s="372">
        <v>0</v>
      </c>
      <c r="S448" s="372">
        <v>0</v>
      </c>
    </row>
    <row r="449" spans="1:19" ht="12.75">
      <c r="A449" s="369" t="s">
        <v>1407</v>
      </c>
      <c r="B449" s="369" t="s">
        <v>1406</v>
      </c>
      <c r="C449" s="369" t="s">
        <v>799</v>
      </c>
      <c r="D449" s="372">
        <v>0</v>
      </c>
      <c r="E449" s="372">
        <v>0</v>
      </c>
      <c r="F449" s="372">
        <v>0</v>
      </c>
      <c r="G449" s="372">
        <v>0</v>
      </c>
      <c r="H449" s="372">
        <v>0</v>
      </c>
      <c r="I449" s="372">
        <v>0</v>
      </c>
      <c r="J449" s="372">
        <v>0</v>
      </c>
      <c r="K449" s="372">
        <v>0</v>
      </c>
      <c r="L449" s="372">
        <v>0</v>
      </c>
      <c r="M449" s="372">
        <v>0</v>
      </c>
      <c r="N449" s="372">
        <v>0</v>
      </c>
      <c r="O449" s="372">
        <v>0</v>
      </c>
      <c r="P449" s="372">
        <v>0</v>
      </c>
      <c r="Q449" s="372">
        <v>0</v>
      </c>
      <c r="R449" s="372">
        <v>0</v>
      </c>
      <c r="S449" s="372">
        <v>0</v>
      </c>
    </row>
    <row r="450" spans="1:19" ht="12.75">
      <c r="A450" s="369" t="s">
        <v>227</v>
      </c>
      <c r="B450" s="369" t="s">
        <v>82</v>
      </c>
      <c r="C450" s="369" t="s">
        <v>800</v>
      </c>
      <c r="D450" s="372">
        <v>1</v>
      </c>
      <c r="E450" s="372">
        <v>1</v>
      </c>
      <c r="F450" s="372">
        <v>0</v>
      </c>
      <c r="G450" s="372">
        <v>1</v>
      </c>
      <c r="H450" s="372">
        <v>1</v>
      </c>
      <c r="I450" s="372">
        <v>0</v>
      </c>
      <c r="J450" s="372">
        <v>0</v>
      </c>
      <c r="K450" s="372">
        <v>1</v>
      </c>
      <c r="L450" s="372">
        <v>0</v>
      </c>
      <c r="M450" s="372">
        <v>0</v>
      </c>
      <c r="N450" s="372">
        <v>1</v>
      </c>
      <c r="O450" s="372">
        <v>1</v>
      </c>
      <c r="P450" s="372">
        <v>1</v>
      </c>
      <c r="Q450" s="372">
        <v>0</v>
      </c>
      <c r="R450" s="372">
        <v>0</v>
      </c>
      <c r="S450" s="372">
        <v>1</v>
      </c>
    </row>
    <row r="451" spans="1:19" ht="12.75">
      <c r="A451" s="369" t="s">
        <v>2010</v>
      </c>
      <c r="B451" s="369" t="s">
        <v>1408</v>
      </c>
      <c r="C451" s="369" t="s">
        <v>801</v>
      </c>
      <c r="D451" s="372">
        <v>0</v>
      </c>
      <c r="E451" s="372">
        <v>0</v>
      </c>
      <c r="F451" s="372">
        <v>0</v>
      </c>
      <c r="G451" s="372">
        <v>0</v>
      </c>
      <c r="H451" s="372">
        <v>0</v>
      </c>
      <c r="I451" s="372">
        <v>0</v>
      </c>
      <c r="J451" s="372">
        <v>0</v>
      </c>
      <c r="K451" s="372">
        <v>0</v>
      </c>
      <c r="L451" s="372">
        <v>0</v>
      </c>
      <c r="M451" s="372">
        <v>0</v>
      </c>
      <c r="N451" s="372">
        <v>0</v>
      </c>
      <c r="O451" s="372">
        <v>0</v>
      </c>
      <c r="P451" s="372">
        <v>0</v>
      </c>
      <c r="Q451" s="372">
        <v>0</v>
      </c>
      <c r="R451" s="372">
        <v>0</v>
      </c>
      <c r="S451" s="372">
        <v>0</v>
      </c>
    </row>
    <row r="452" spans="1:19" ht="12.75">
      <c r="A452" s="369" t="s">
        <v>228</v>
      </c>
      <c r="B452" s="369" t="s">
        <v>83</v>
      </c>
      <c r="C452" s="369" t="s">
        <v>802</v>
      </c>
      <c r="D452" s="372">
        <v>0</v>
      </c>
      <c r="E452" s="372">
        <v>0</v>
      </c>
      <c r="F452" s="372">
        <v>0</v>
      </c>
      <c r="G452" s="372">
        <v>0</v>
      </c>
      <c r="H452" s="372">
        <v>0</v>
      </c>
      <c r="I452" s="372">
        <v>0</v>
      </c>
      <c r="J452" s="372">
        <v>0</v>
      </c>
      <c r="K452" s="372">
        <v>0</v>
      </c>
      <c r="L452" s="372">
        <v>0</v>
      </c>
      <c r="M452" s="372">
        <v>0</v>
      </c>
      <c r="N452" s="372">
        <v>0</v>
      </c>
      <c r="O452" s="372">
        <v>0</v>
      </c>
      <c r="P452" s="372">
        <v>0</v>
      </c>
      <c r="Q452" s="372">
        <v>0</v>
      </c>
      <c r="R452" s="372">
        <v>0</v>
      </c>
      <c r="S452" s="372">
        <v>0</v>
      </c>
    </row>
    <row r="453" spans="1:19" ht="12.75">
      <c r="A453" s="369" t="s">
        <v>229</v>
      </c>
      <c r="B453" s="369" t="s">
        <v>84</v>
      </c>
      <c r="C453" s="369" t="s">
        <v>803</v>
      </c>
      <c r="D453" s="372">
        <v>0</v>
      </c>
      <c r="E453" s="372">
        <v>0</v>
      </c>
      <c r="F453" s="372">
        <v>0</v>
      </c>
      <c r="G453" s="372">
        <v>0</v>
      </c>
      <c r="H453" s="372">
        <v>0</v>
      </c>
      <c r="I453" s="372">
        <v>0</v>
      </c>
      <c r="J453" s="372">
        <v>0</v>
      </c>
      <c r="K453" s="372">
        <v>0</v>
      </c>
      <c r="L453" s="372">
        <v>0</v>
      </c>
      <c r="M453" s="372">
        <v>0</v>
      </c>
      <c r="N453" s="372">
        <v>0</v>
      </c>
      <c r="O453" s="372">
        <v>0</v>
      </c>
      <c r="P453" s="372">
        <v>0</v>
      </c>
      <c r="Q453" s="372">
        <v>0</v>
      </c>
      <c r="R453" s="372">
        <v>0</v>
      </c>
      <c r="S453" s="372">
        <v>0</v>
      </c>
    </row>
    <row r="454" spans="1:19" ht="12.75">
      <c r="A454" s="369" t="s">
        <v>1774</v>
      </c>
      <c r="B454" s="369" t="s">
        <v>2066</v>
      </c>
      <c r="C454" s="369" t="s">
        <v>804</v>
      </c>
      <c r="D454" s="372">
        <v>0</v>
      </c>
      <c r="E454" s="372">
        <v>0</v>
      </c>
      <c r="F454" s="372">
        <v>0</v>
      </c>
      <c r="G454" s="372">
        <v>0</v>
      </c>
      <c r="H454" s="372">
        <v>0</v>
      </c>
      <c r="I454" s="372">
        <v>0</v>
      </c>
      <c r="J454" s="372">
        <v>0</v>
      </c>
      <c r="K454" s="372">
        <v>0</v>
      </c>
      <c r="L454" s="372">
        <v>0</v>
      </c>
      <c r="M454" s="372">
        <v>0</v>
      </c>
      <c r="N454" s="372">
        <v>0</v>
      </c>
      <c r="O454" s="372">
        <v>0</v>
      </c>
      <c r="P454" s="372">
        <v>0</v>
      </c>
      <c r="Q454" s="372">
        <v>0</v>
      </c>
      <c r="R454" s="372">
        <v>0</v>
      </c>
      <c r="S454" s="372">
        <v>0</v>
      </c>
    </row>
    <row r="455" spans="1:19" ht="12.75">
      <c r="A455" s="369" t="s">
        <v>230</v>
      </c>
      <c r="B455" s="369" t="s">
        <v>85</v>
      </c>
      <c r="C455" s="369" t="s">
        <v>805</v>
      </c>
      <c r="D455" s="372">
        <v>1</v>
      </c>
      <c r="E455" s="372">
        <v>1</v>
      </c>
      <c r="F455" s="372">
        <v>1</v>
      </c>
      <c r="G455" s="372">
        <v>1</v>
      </c>
      <c r="H455" s="372">
        <v>1</v>
      </c>
      <c r="I455" s="372">
        <v>1</v>
      </c>
      <c r="J455" s="372">
        <v>1</v>
      </c>
      <c r="K455" s="372">
        <v>1</v>
      </c>
      <c r="L455" s="372">
        <v>1</v>
      </c>
      <c r="M455" s="372">
        <v>1</v>
      </c>
      <c r="N455" s="372">
        <v>1</v>
      </c>
      <c r="O455" s="372">
        <v>1</v>
      </c>
      <c r="P455" s="372">
        <v>1</v>
      </c>
      <c r="Q455" s="372">
        <v>0</v>
      </c>
      <c r="R455" s="372">
        <v>1</v>
      </c>
      <c r="S455" s="372">
        <v>1</v>
      </c>
    </row>
    <row r="456" spans="1:19" ht="12.75">
      <c r="A456" s="369" t="s">
        <v>2011</v>
      </c>
      <c r="B456" s="369" t="s">
        <v>2012</v>
      </c>
      <c r="C456" s="369"/>
      <c r="D456" s="372">
        <v>0</v>
      </c>
      <c r="E456" s="372">
        <v>0</v>
      </c>
      <c r="F456" s="372">
        <v>0</v>
      </c>
      <c r="G456" s="372">
        <v>0</v>
      </c>
      <c r="H456" s="372">
        <v>0</v>
      </c>
      <c r="I456" s="372">
        <v>0</v>
      </c>
      <c r="J456" s="372">
        <v>0</v>
      </c>
      <c r="K456" s="372">
        <v>0</v>
      </c>
      <c r="L456" s="372">
        <v>0</v>
      </c>
      <c r="M456" s="372">
        <v>0</v>
      </c>
      <c r="N456" s="372">
        <v>0</v>
      </c>
      <c r="O456" s="372">
        <v>0</v>
      </c>
      <c r="P456" s="372">
        <v>0</v>
      </c>
      <c r="Q456" s="372">
        <v>0</v>
      </c>
      <c r="R456" s="372">
        <v>0</v>
      </c>
      <c r="S456" s="372">
        <v>0</v>
      </c>
    </row>
    <row r="457" spans="1:19" ht="12.75">
      <c r="A457" s="369" t="s">
        <v>231</v>
      </c>
      <c r="B457" s="369" t="s">
        <v>347</v>
      </c>
      <c r="C457" s="369" t="s">
        <v>806</v>
      </c>
      <c r="D457" s="372">
        <v>0</v>
      </c>
      <c r="E457" s="372">
        <v>0</v>
      </c>
      <c r="F457" s="372">
        <v>0</v>
      </c>
      <c r="G457" s="372">
        <v>0</v>
      </c>
      <c r="H457" s="372">
        <v>0</v>
      </c>
      <c r="I457" s="372">
        <v>0</v>
      </c>
      <c r="J457" s="372">
        <v>0</v>
      </c>
      <c r="K457" s="372">
        <v>0</v>
      </c>
      <c r="L457" s="372">
        <v>0</v>
      </c>
      <c r="M457" s="372">
        <v>0</v>
      </c>
      <c r="N457" s="372">
        <v>0</v>
      </c>
      <c r="O457" s="372">
        <v>0</v>
      </c>
      <c r="P457" s="372">
        <v>0</v>
      </c>
      <c r="Q457" s="372">
        <v>0</v>
      </c>
      <c r="R457" s="372">
        <v>0</v>
      </c>
      <c r="S457" s="372">
        <v>0</v>
      </c>
    </row>
    <row r="458" spans="1:19" ht="12.75">
      <c r="A458" s="369" t="s">
        <v>232</v>
      </c>
      <c r="B458" s="369" t="s">
        <v>86</v>
      </c>
      <c r="C458" s="369" t="s">
        <v>807</v>
      </c>
      <c r="D458" s="372">
        <v>0</v>
      </c>
      <c r="E458" s="372">
        <v>0</v>
      </c>
      <c r="F458" s="372">
        <v>0</v>
      </c>
      <c r="G458" s="372">
        <v>1</v>
      </c>
      <c r="H458" s="372">
        <v>1</v>
      </c>
      <c r="I458" s="372">
        <v>0</v>
      </c>
      <c r="J458" s="372">
        <v>0</v>
      </c>
      <c r="K458" s="372">
        <v>0</v>
      </c>
      <c r="L458" s="372">
        <v>0</v>
      </c>
      <c r="M458" s="372">
        <v>0</v>
      </c>
      <c r="N458" s="372">
        <v>0</v>
      </c>
      <c r="O458" s="372">
        <v>1</v>
      </c>
      <c r="P458" s="372">
        <v>0</v>
      </c>
      <c r="Q458" s="372">
        <v>0</v>
      </c>
      <c r="R458" s="372">
        <v>0</v>
      </c>
      <c r="S458" s="372">
        <v>0</v>
      </c>
    </row>
    <row r="459" spans="1:19" ht="12.75">
      <c r="A459" s="369" t="s">
        <v>1775</v>
      </c>
      <c r="B459" s="369" t="s">
        <v>87</v>
      </c>
      <c r="C459" s="369" t="s">
        <v>808</v>
      </c>
      <c r="D459" s="372">
        <v>0</v>
      </c>
      <c r="E459" s="372">
        <v>0</v>
      </c>
      <c r="F459" s="372">
        <v>0</v>
      </c>
      <c r="G459" s="372">
        <v>1</v>
      </c>
      <c r="H459" s="372">
        <v>1</v>
      </c>
      <c r="I459" s="372">
        <v>0</v>
      </c>
      <c r="J459" s="372">
        <v>1</v>
      </c>
      <c r="K459" s="372">
        <v>0</v>
      </c>
      <c r="L459" s="372">
        <v>0</v>
      </c>
      <c r="M459" s="372">
        <v>0</v>
      </c>
      <c r="N459" s="372">
        <v>0</v>
      </c>
      <c r="O459" s="372">
        <v>1</v>
      </c>
      <c r="P459" s="372">
        <v>0</v>
      </c>
      <c r="Q459" s="372">
        <v>0</v>
      </c>
      <c r="R459" s="372">
        <v>0</v>
      </c>
      <c r="S459" s="372">
        <v>0</v>
      </c>
    </row>
    <row r="460" spans="1:19" ht="12.75">
      <c r="A460" s="369" t="s">
        <v>1662</v>
      </c>
      <c r="B460" s="369" t="s">
        <v>88</v>
      </c>
      <c r="C460" s="369" t="s">
        <v>809</v>
      </c>
      <c r="D460" s="372">
        <v>0</v>
      </c>
      <c r="E460" s="372">
        <v>0</v>
      </c>
      <c r="F460" s="372">
        <v>0</v>
      </c>
      <c r="G460" s="372">
        <v>0</v>
      </c>
      <c r="H460" s="372">
        <v>0</v>
      </c>
      <c r="I460" s="372">
        <v>0</v>
      </c>
      <c r="J460" s="372">
        <v>0</v>
      </c>
      <c r="K460" s="372">
        <v>0</v>
      </c>
      <c r="L460" s="372">
        <v>0</v>
      </c>
      <c r="M460" s="372">
        <v>0</v>
      </c>
      <c r="N460" s="372">
        <v>0</v>
      </c>
      <c r="O460" s="372">
        <v>0</v>
      </c>
      <c r="P460" s="372">
        <v>0</v>
      </c>
      <c r="Q460" s="372">
        <v>0</v>
      </c>
      <c r="R460" s="372">
        <v>0</v>
      </c>
      <c r="S460" s="372">
        <v>0</v>
      </c>
    </row>
    <row r="461" spans="1:19" ht="12.75">
      <c r="A461" s="369" t="s">
        <v>233</v>
      </c>
      <c r="B461" s="369" t="s">
        <v>2160</v>
      </c>
      <c r="C461" s="369" t="s">
        <v>810</v>
      </c>
      <c r="D461" s="372">
        <v>0</v>
      </c>
      <c r="E461" s="372">
        <v>0</v>
      </c>
      <c r="F461" s="372">
        <v>0</v>
      </c>
      <c r="G461" s="372">
        <v>0</v>
      </c>
      <c r="H461" s="372">
        <v>0</v>
      </c>
      <c r="I461" s="372">
        <v>0</v>
      </c>
      <c r="J461" s="372">
        <v>0</v>
      </c>
      <c r="K461" s="372">
        <v>0</v>
      </c>
      <c r="L461" s="372">
        <v>0</v>
      </c>
      <c r="M461" s="372">
        <v>0</v>
      </c>
      <c r="N461" s="372">
        <v>0</v>
      </c>
      <c r="O461" s="372">
        <v>0</v>
      </c>
      <c r="P461" s="372">
        <v>0</v>
      </c>
      <c r="Q461" s="372">
        <v>0</v>
      </c>
      <c r="R461" s="372">
        <v>0</v>
      </c>
      <c r="S461" s="372">
        <v>0</v>
      </c>
    </row>
    <row r="462" spans="1:19" ht="12.75">
      <c r="A462" s="369" t="s">
        <v>2211</v>
      </c>
      <c r="B462" s="369" t="s">
        <v>89</v>
      </c>
      <c r="C462" s="369" t="s">
        <v>811</v>
      </c>
      <c r="D462" s="372">
        <v>0</v>
      </c>
      <c r="E462" s="372">
        <v>0</v>
      </c>
      <c r="F462" s="372">
        <v>0</v>
      </c>
      <c r="G462" s="372">
        <v>0</v>
      </c>
      <c r="H462" s="372">
        <v>0</v>
      </c>
      <c r="I462" s="372">
        <v>0</v>
      </c>
      <c r="J462" s="372">
        <v>0</v>
      </c>
      <c r="K462" s="372">
        <v>0</v>
      </c>
      <c r="L462" s="372">
        <v>1</v>
      </c>
      <c r="M462" s="372">
        <v>0</v>
      </c>
      <c r="N462" s="372">
        <v>0</v>
      </c>
      <c r="O462" s="372">
        <v>0</v>
      </c>
      <c r="P462" s="372">
        <v>0</v>
      </c>
      <c r="Q462" s="372">
        <v>0</v>
      </c>
      <c r="R462" s="372">
        <v>0</v>
      </c>
      <c r="S462" s="372">
        <v>0</v>
      </c>
    </row>
    <row r="463" spans="1:19" ht="12.75">
      <c r="A463" s="369" t="s">
        <v>2013</v>
      </c>
      <c r="B463" s="369" t="s">
        <v>2014</v>
      </c>
      <c r="C463" s="369"/>
      <c r="D463" s="372">
        <v>0</v>
      </c>
      <c r="E463" s="372">
        <v>0</v>
      </c>
      <c r="F463" s="372">
        <v>0</v>
      </c>
      <c r="G463" s="372">
        <v>0</v>
      </c>
      <c r="H463" s="372">
        <v>0</v>
      </c>
      <c r="I463" s="372">
        <v>0</v>
      </c>
      <c r="J463" s="372">
        <v>0</v>
      </c>
      <c r="K463" s="372">
        <v>0</v>
      </c>
      <c r="L463" s="372">
        <v>0</v>
      </c>
      <c r="M463" s="372">
        <v>0</v>
      </c>
      <c r="N463" s="372">
        <v>0</v>
      </c>
      <c r="O463" s="372">
        <v>0</v>
      </c>
      <c r="P463" s="372">
        <v>0</v>
      </c>
      <c r="Q463" s="372">
        <v>0</v>
      </c>
      <c r="R463" s="372">
        <v>0</v>
      </c>
      <c r="S463" s="372">
        <v>0</v>
      </c>
    </row>
    <row r="464" spans="1:19" ht="12.75">
      <c r="A464" s="369" t="s">
        <v>234</v>
      </c>
      <c r="B464" s="369" t="s">
        <v>90</v>
      </c>
      <c r="C464" s="369" t="s">
        <v>812</v>
      </c>
      <c r="D464" s="372">
        <v>0</v>
      </c>
      <c r="E464" s="372">
        <v>0</v>
      </c>
      <c r="F464" s="372">
        <v>0</v>
      </c>
      <c r="G464" s="372">
        <v>0</v>
      </c>
      <c r="H464" s="372">
        <v>0</v>
      </c>
      <c r="I464" s="372">
        <v>0</v>
      </c>
      <c r="J464" s="372">
        <v>0</v>
      </c>
      <c r="K464" s="372">
        <v>1</v>
      </c>
      <c r="L464" s="372">
        <v>0</v>
      </c>
      <c r="M464" s="372">
        <v>0</v>
      </c>
      <c r="N464" s="372">
        <v>1</v>
      </c>
      <c r="O464" s="372">
        <v>0</v>
      </c>
      <c r="P464" s="372">
        <v>0</v>
      </c>
      <c r="Q464" s="372">
        <v>1</v>
      </c>
      <c r="R464" s="372">
        <v>0</v>
      </c>
      <c r="S464" s="372">
        <v>1</v>
      </c>
    </row>
    <row r="465" spans="1:19" ht="12.75">
      <c r="A465" s="369" t="s">
        <v>2213</v>
      </c>
      <c r="B465" s="369" t="s">
        <v>2212</v>
      </c>
      <c r="C465" s="369" t="s">
        <v>813</v>
      </c>
      <c r="D465" s="372">
        <v>0</v>
      </c>
      <c r="E465" s="372">
        <v>0</v>
      </c>
      <c r="F465" s="372">
        <v>0</v>
      </c>
      <c r="G465" s="372">
        <v>0</v>
      </c>
      <c r="H465" s="372">
        <v>0</v>
      </c>
      <c r="I465" s="372">
        <v>0</v>
      </c>
      <c r="J465" s="372">
        <v>0</v>
      </c>
      <c r="K465" s="372">
        <v>0</v>
      </c>
      <c r="L465" s="372">
        <v>0</v>
      </c>
      <c r="M465" s="372">
        <v>0</v>
      </c>
      <c r="N465" s="372">
        <v>0</v>
      </c>
      <c r="O465" s="372">
        <v>0</v>
      </c>
      <c r="P465" s="372">
        <v>0</v>
      </c>
      <c r="Q465" s="372">
        <v>0</v>
      </c>
      <c r="R465" s="372">
        <v>0</v>
      </c>
      <c r="S465" s="372">
        <v>0</v>
      </c>
    </row>
    <row r="466" spans="1:19" ht="12.75">
      <c r="A466" s="369" t="s">
        <v>2333</v>
      </c>
      <c r="B466" s="369" t="s">
        <v>2214</v>
      </c>
      <c r="C466" s="369" t="s">
        <v>814</v>
      </c>
      <c r="D466" s="372">
        <v>0</v>
      </c>
      <c r="E466" s="372">
        <v>0</v>
      </c>
      <c r="F466" s="372">
        <v>0</v>
      </c>
      <c r="G466" s="372">
        <v>0</v>
      </c>
      <c r="H466" s="372">
        <v>0</v>
      </c>
      <c r="I466" s="372">
        <v>0</v>
      </c>
      <c r="J466" s="372">
        <v>0</v>
      </c>
      <c r="K466" s="372">
        <v>0</v>
      </c>
      <c r="L466" s="372">
        <v>0</v>
      </c>
      <c r="M466" s="372">
        <v>0</v>
      </c>
      <c r="N466" s="372">
        <v>0</v>
      </c>
      <c r="O466" s="372">
        <v>0</v>
      </c>
      <c r="P466" s="372">
        <v>0</v>
      </c>
      <c r="Q466" s="372">
        <v>0</v>
      </c>
      <c r="R466" s="372">
        <v>0</v>
      </c>
      <c r="S466" s="372">
        <v>0</v>
      </c>
    </row>
    <row r="467" spans="1:19" ht="12.75">
      <c r="A467" s="369" t="s">
        <v>2382</v>
      </c>
      <c r="B467" s="369" t="s">
        <v>2161</v>
      </c>
      <c r="C467" s="369" t="s">
        <v>815</v>
      </c>
      <c r="D467" s="372">
        <v>0</v>
      </c>
      <c r="E467" s="372">
        <v>0</v>
      </c>
      <c r="F467" s="372">
        <v>0</v>
      </c>
      <c r="G467" s="372">
        <v>0</v>
      </c>
      <c r="H467" s="372">
        <v>0</v>
      </c>
      <c r="I467" s="372">
        <v>0</v>
      </c>
      <c r="J467" s="372">
        <v>0</v>
      </c>
      <c r="K467" s="372">
        <v>0</v>
      </c>
      <c r="L467" s="372">
        <v>0</v>
      </c>
      <c r="M467" s="372">
        <v>0</v>
      </c>
      <c r="N467" s="372">
        <v>0</v>
      </c>
      <c r="O467" s="372">
        <v>0</v>
      </c>
      <c r="P467" s="372">
        <v>0</v>
      </c>
      <c r="Q467" s="372">
        <v>0</v>
      </c>
      <c r="R467" s="372">
        <v>0</v>
      </c>
      <c r="S467" s="372">
        <v>0</v>
      </c>
    </row>
    <row r="468" spans="1:19" ht="12.75">
      <c r="A468" s="369" t="s">
        <v>2383</v>
      </c>
      <c r="B468" s="369" t="s">
        <v>91</v>
      </c>
      <c r="C468" s="369" t="s">
        <v>816</v>
      </c>
      <c r="D468" s="372">
        <v>1</v>
      </c>
      <c r="E468" s="372">
        <v>1</v>
      </c>
      <c r="F468" s="372">
        <v>0</v>
      </c>
      <c r="G468" s="372">
        <v>1</v>
      </c>
      <c r="H468" s="372">
        <v>1</v>
      </c>
      <c r="I468" s="372">
        <v>0</v>
      </c>
      <c r="J468" s="372">
        <v>1</v>
      </c>
      <c r="K468" s="372">
        <v>0</v>
      </c>
      <c r="L468" s="372">
        <v>1</v>
      </c>
      <c r="M468" s="372">
        <v>1</v>
      </c>
      <c r="N468" s="372">
        <v>0</v>
      </c>
      <c r="O468" s="372">
        <v>1</v>
      </c>
      <c r="P468" s="372">
        <v>0</v>
      </c>
      <c r="Q468" s="372">
        <v>0</v>
      </c>
      <c r="R468" s="372">
        <v>0</v>
      </c>
      <c r="S468" s="372">
        <v>0</v>
      </c>
    </row>
    <row r="469" spans="1:19" ht="12.75">
      <c r="A469" s="369" t="s">
        <v>2335</v>
      </c>
      <c r="B469" s="369" t="s">
        <v>2334</v>
      </c>
      <c r="C469" s="369" t="s">
        <v>817</v>
      </c>
      <c r="D469" s="372">
        <v>0</v>
      </c>
      <c r="E469" s="372">
        <v>0</v>
      </c>
      <c r="F469" s="372">
        <v>0</v>
      </c>
      <c r="G469" s="372">
        <v>0</v>
      </c>
      <c r="H469" s="372">
        <v>0</v>
      </c>
      <c r="I469" s="372">
        <v>0</v>
      </c>
      <c r="J469" s="372">
        <v>0</v>
      </c>
      <c r="K469" s="372">
        <v>0</v>
      </c>
      <c r="L469" s="372">
        <v>0</v>
      </c>
      <c r="M469" s="372">
        <v>0</v>
      </c>
      <c r="N469" s="372">
        <v>0</v>
      </c>
      <c r="O469" s="372">
        <v>0</v>
      </c>
      <c r="P469" s="372">
        <v>0</v>
      </c>
      <c r="Q469" s="372">
        <v>0</v>
      </c>
      <c r="R469" s="372">
        <v>0</v>
      </c>
      <c r="S469" s="372">
        <v>0</v>
      </c>
    </row>
    <row r="470" spans="1:19" ht="12.75">
      <c r="A470" s="369" t="s">
        <v>2384</v>
      </c>
      <c r="B470" s="369" t="s">
        <v>2293</v>
      </c>
      <c r="C470" s="369" t="s">
        <v>818</v>
      </c>
      <c r="D470" s="372">
        <v>1</v>
      </c>
      <c r="E470" s="372">
        <v>1</v>
      </c>
      <c r="F470" s="372">
        <v>0</v>
      </c>
      <c r="G470" s="372">
        <v>0</v>
      </c>
      <c r="H470" s="372">
        <v>0</v>
      </c>
      <c r="I470" s="372">
        <v>1</v>
      </c>
      <c r="J470" s="372">
        <v>1</v>
      </c>
      <c r="K470" s="372">
        <v>0</v>
      </c>
      <c r="L470" s="372">
        <v>0</v>
      </c>
      <c r="M470" s="372">
        <v>1</v>
      </c>
      <c r="N470" s="372">
        <v>0</v>
      </c>
      <c r="O470" s="372">
        <v>0</v>
      </c>
      <c r="P470" s="372">
        <v>0</v>
      </c>
      <c r="Q470" s="372">
        <v>1</v>
      </c>
      <c r="R470" s="372">
        <v>1</v>
      </c>
      <c r="S470" s="372">
        <v>1</v>
      </c>
    </row>
    <row r="471" spans="1:19" ht="12.75">
      <c r="A471" s="369" t="s">
        <v>2337</v>
      </c>
      <c r="B471" s="369" t="s">
        <v>2336</v>
      </c>
      <c r="C471" s="369" t="s">
        <v>819</v>
      </c>
      <c r="D471" s="372">
        <v>0</v>
      </c>
      <c r="E471" s="372">
        <v>0</v>
      </c>
      <c r="F471" s="372">
        <v>0</v>
      </c>
      <c r="G471" s="372">
        <v>0</v>
      </c>
      <c r="H471" s="372">
        <v>0</v>
      </c>
      <c r="I471" s="372">
        <v>0</v>
      </c>
      <c r="J471" s="372">
        <v>0</v>
      </c>
      <c r="K471" s="372">
        <v>0</v>
      </c>
      <c r="L471" s="372">
        <v>0</v>
      </c>
      <c r="M471" s="372">
        <v>0</v>
      </c>
      <c r="N471" s="372">
        <v>0</v>
      </c>
      <c r="O471" s="372">
        <v>0</v>
      </c>
      <c r="P471" s="372">
        <v>0</v>
      </c>
      <c r="Q471" s="372">
        <v>0</v>
      </c>
      <c r="R471" s="372">
        <v>0</v>
      </c>
      <c r="S471" s="372">
        <v>0</v>
      </c>
    </row>
    <row r="472" spans="1:19" ht="12.75">
      <c r="A472" s="369" t="s">
        <v>2339</v>
      </c>
      <c r="B472" s="369" t="s">
        <v>2338</v>
      </c>
      <c r="C472" s="369" t="s">
        <v>820</v>
      </c>
      <c r="D472" s="372">
        <v>0</v>
      </c>
      <c r="E472" s="372">
        <v>0</v>
      </c>
      <c r="F472" s="372">
        <v>0</v>
      </c>
      <c r="G472" s="372">
        <v>0</v>
      </c>
      <c r="H472" s="372">
        <v>0</v>
      </c>
      <c r="I472" s="372">
        <v>0</v>
      </c>
      <c r="J472" s="372">
        <v>0</v>
      </c>
      <c r="K472" s="372">
        <v>0</v>
      </c>
      <c r="L472" s="372">
        <v>0</v>
      </c>
      <c r="M472" s="372">
        <v>0</v>
      </c>
      <c r="N472" s="372">
        <v>0</v>
      </c>
      <c r="O472" s="372">
        <v>0</v>
      </c>
      <c r="P472" s="372">
        <v>0</v>
      </c>
      <c r="Q472" s="372">
        <v>0</v>
      </c>
      <c r="R472" s="372">
        <v>0</v>
      </c>
      <c r="S472" s="372">
        <v>0</v>
      </c>
    </row>
    <row r="473" spans="1:19" ht="12.75">
      <c r="A473" s="369" t="s">
        <v>2194</v>
      </c>
      <c r="B473" s="369" t="s">
        <v>2294</v>
      </c>
      <c r="C473" s="369" t="s">
        <v>821</v>
      </c>
      <c r="D473" s="372">
        <v>0</v>
      </c>
      <c r="E473" s="372">
        <v>0</v>
      </c>
      <c r="F473" s="372">
        <v>0</v>
      </c>
      <c r="G473" s="372">
        <v>0</v>
      </c>
      <c r="H473" s="372">
        <v>0</v>
      </c>
      <c r="I473" s="372">
        <v>0</v>
      </c>
      <c r="J473" s="372">
        <v>0</v>
      </c>
      <c r="K473" s="372">
        <v>0</v>
      </c>
      <c r="L473" s="372">
        <v>0</v>
      </c>
      <c r="M473" s="372">
        <v>0</v>
      </c>
      <c r="N473" s="372">
        <v>0</v>
      </c>
      <c r="O473" s="372">
        <v>0</v>
      </c>
      <c r="P473" s="372">
        <v>0</v>
      </c>
      <c r="Q473" s="372">
        <v>0</v>
      </c>
      <c r="R473" s="372">
        <v>0</v>
      </c>
      <c r="S473" s="372">
        <v>0</v>
      </c>
    </row>
    <row r="474" spans="1:19" ht="12.75">
      <c r="A474" s="369" t="s">
        <v>1903</v>
      </c>
      <c r="B474" s="369" t="s">
        <v>1902</v>
      </c>
      <c r="C474" s="369" t="s">
        <v>822</v>
      </c>
      <c r="D474" s="372">
        <v>0</v>
      </c>
      <c r="E474" s="372">
        <v>0</v>
      </c>
      <c r="F474" s="372">
        <v>0</v>
      </c>
      <c r="G474" s="372">
        <v>0</v>
      </c>
      <c r="H474" s="372">
        <v>0</v>
      </c>
      <c r="I474" s="372">
        <v>0</v>
      </c>
      <c r="J474" s="372">
        <v>0</v>
      </c>
      <c r="K474" s="372">
        <v>0</v>
      </c>
      <c r="L474" s="372">
        <v>0</v>
      </c>
      <c r="M474" s="372">
        <v>0</v>
      </c>
      <c r="N474" s="372">
        <v>0</v>
      </c>
      <c r="O474" s="372">
        <v>0</v>
      </c>
      <c r="P474" s="372">
        <v>0</v>
      </c>
      <c r="Q474" s="372">
        <v>0</v>
      </c>
      <c r="R474" s="372">
        <v>0</v>
      </c>
      <c r="S474" s="372">
        <v>0</v>
      </c>
    </row>
    <row r="475" spans="1:19" ht="12.75">
      <c r="A475" s="369" t="s">
        <v>1199</v>
      </c>
      <c r="B475" s="369" t="s">
        <v>1200</v>
      </c>
      <c r="C475" s="369"/>
      <c r="D475" s="372">
        <v>0</v>
      </c>
      <c r="E475" s="372">
        <v>0</v>
      </c>
      <c r="F475" s="372">
        <v>0</v>
      </c>
      <c r="G475" s="372">
        <v>0</v>
      </c>
      <c r="H475" s="372">
        <v>0</v>
      </c>
      <c r="I475" s="372">
        <v>0</v>
      </c>
      <c r="J475" s="372">
        <v>0</v>
      </c>
      <c r="K475" s="372">
        <v>0</v>
      </c>
      <c r="L475" s="372">
        <v>0</v>
      </c>
      <c r="M475" s="372">
        <v>0</v>
      </c>
      <c r="N475" s="372">
        <v>0</v>
      </c>
      <c r="O475" s="372">
        <v>0</v>
      </c>
      <c r="P475" s="372">
        <v>0</v>
      </c>
      <c r="Q475" s="372">
        <v>0</v>
      </c>
      <c r="R475" s="372">
        <v>0</v>
      </c>
      <c r="S475" s="372">
        <v>0</v>
      </c>
    </row>
    <row r="476" spans="1:19" ht="12.75">
      <c r="A476" s="369" t="s">
        <v>2110</v>
      </c>
      <c r="B476" s="369" t="s">
        <v>1396</v>
      </c>
      <c r="C476" s="369" t="s">
        <v>823</v>
      </c>
      <c r="D476" s="372">
        <v>0</v>
      </c>
      <c r="E476" s="372">
        <v>0</v>
      </c>
      <c r="F476" s="372">
        <v>0</v>
      </c>
      <c r="G476" s="372">
        <v>0</v>
      </c>
      <c r="H476" s="372">
        <v>0</v>
      </c>
      <c r="I476" s="372">
        <v>0</v>
      </c>
      <c r="J476" s="372">
        <v>0</v>
      </c>
      <c r="K476" s="372">
        <v>0</v>
      </c>
      <c r="L476" s="372">
        <v>0</v>
      </c>
      <c r="M476" s="372">
        <v>0</v>
      </c>
      <c r="N476" s="372">
        <v>0</v>
      </c>
      <c r="O476" s="372">
        <v>0</v>
      </c>
      <c r="P476" s="372">
        <v>0</v>
      </c>
      <c r="Q476" s="372">
        <v>0</v>
      </c>
      <c r="R476" s="372">
        <v>0</v>
      </c>
      <c r="S476" s="372">
        <v>0</v>
      </c>
    </row>
    <row r="477" spans="1:19" ht="12.75">
      <c r="A477" s="369" t="s">
        <v>1397</v>
      </c>
      <c r="B477" s="369" t="s">
        <v>1710</v>
      </c>
      <c r="C477" s="369" t="s">
        <v>824</v>
      </c>
      <c r="D477" s="372">
        <v>1</v>
      </c>
      <c r="E477" s="372">
        <v>1</v>
      </c>
      <c r="F477" s="372">
        <v>1</v>
      </c>
      <c r="G477" s="372">
        <v>1</v>
      </c>
      <c r="H477" s="372">
        <v>1</v>
      </c>
      <c r="I477" s="372">
        <v>1</v>
      </c>
      <c r="J477" s="372">
        <v>1</v>
      </c>
      <c r="K477" s="372">
        <v>1</v>
      </c>
      <c r="L477" s="372">
        <v>1</v>
      </c>
      <c r="M477" s="372">
        <v>1</v>
      </c>
      <c r="N477" s="372">
        <v>1</v>
      </c>
      <c r="O477" s="372">
        <v>1</v>
      </c>
      <c r="P477" s="372">
        <v>1</v>
      </c>
      <c r="Q477" s="372">
        <v>1</v>
      </c>
      <c r="R477" s="372">
        <v>1</v>
      </c>
      <c r="S477" s="372">
        <v>1</v>
      </c>
    </row>
    <row r="478" spans="1:19" ht="12.75">
      <c r="A478" s="369" t="s">
        <v>1440</v>
      </c>
      <c r="B478" s="369" t="s">
        <v>1439</v>
      </c>
      <c r="C478" s="369" t="s">
        <v>825</v>
      </c>
      <c r="D478" s="372">
        <v>0</v>
      </c>
      <c r="E478" s="372">
        <v>0</v>
      </c>
      <c r="F478" s="372">
        <v>0</v>
      </c>
      <c r="G478" s="372">
        <v>0</v>
      </c>
      <c r="H478" s="372">
        <v>0</v>
      </c>
      <c r="I478" s="372">
        <v>0</v>
      </c>
      <c r="J478" s="372">
        <v>0</v>
      </c>
      <c r="K478" s="372">
        <v>0</v>
      </c>
      <c r="L478" s="372">
        <v>0</v>
      </c>
      <c r="M478" s="372">
        <v>0</v>
      </c>
      <c r="N478" s="372">
        <v>0</v>
      </c>
      <c r="O478" s="372">
        <v>0</v>
      </c>
      <c r="P478" s="372">
        <v>0</v>
      </c>
      <c r="Q478" s="372">
        <v>0</v>
      </c>
      <c r="R478" s="372">
        <v>0</v>
      </c>
      <c r="S478" s="372">
        <v>1</v>
      </c>
    </row>
    <row r="479" spans="1:19" ht="12.75">
      <c r="A479" s="369" t="s">
        <v>2462</v>
      </c>
      <c r="B479" s="369" t="s">
        <v>2434</v>
      </c>
      <c r="C479" s="369" t="s">
        <v>826</v>
      </c>
      <c r="D479" s="372">
        <v>0</v>
      </c>
      <c r="E479" s="372">
        <v>0</v>
      </c>
      <c r="F479" s="372">
        <v>0</v>
      </c>
      <c r="G479" s="372">
        <v>1</v>
      </c>
      <c r="H479" s="372">
        <v>1</v>
      </c>
      <c r="I479" s="372">
        <v>0</v>
      </c>
      <c r="J479" s="372">
        <v>0</v>
      </c>
      <c r="K479" s="372">
        <v>0</v>
      </c>
      <c r="L479" s="372">
        <v>0</v>
      </c>
      <c r="M479" s="372">
        <v>0</v>
      </c>
      <c r="N479" s="372">
        <v>0</v>
      </c>
      <c r="O479" s="372">
        <v>1</v>
      </c>
      <c r="P479" s="372">
        <v>0</v>
      </c>
      <c r="Q479" s="372">
        <v>0</v>
      </c>
      <c r="R479" s="372">
        <v>0</v>
      </c>
      <c r="S479" s="372">
        <v>0</v>
      </c>
    </row>
    <row r="480" spans="1:19" ht="12.75">
      <c r="A480" s="369" t="s">
        <v>376</v>
      </c>
      <c r="B480" s="369" t="s">
        <v>1813</v>
      </c>
      <c r="C480" s="369" t="s">
        <v>827</v>
      </c>
      <c r="D480" s="372">
        <v>1</v>
      </c>
      <c r="E480" s="372">
        <v>1</v>
      </c>
      <c r="F480" s="372">
        <v>1</v>
      </c>
      <c r="G480" s="372">
        <v>1</v>
      </c>
      <c r="H480" s="372">
        <v>1</v>
      </c>
      <c r="I480" s="372">
        <v>1</v>
      </c>
      <c r="J480" s="372">
        <v>1</v>
      </c>
      <c r="K480" s="372">
        <v>1</v>
      </c>
      <c r="L480" s="372">
        <v>1</v>
      </c>
      <c r="M480" s="372">
        <v>0</v>
      </c>
      <c r="N480" s="372">
        <v>1</v>
      </c>
      <c r="O480" s="372">
        <v>1</v>
      </c>
      <c r="P480" s="372">
        <v>1</v>
      </c>
      <c r="Q480" s="372">
        <v>0</v>
      </c>
      <c r="R480" s="372">
        <v>1</v>
      </c>
      <c r="S480" s="372">
        <v>1</v>
      </c>
    </row>
    <row r="481" spans="1:19" ht="12.75">
      <c r="A481" s="369" t="s">
        <v>1257</v>
      </c>
      <c r="B481" s="369" t="s">
        <v>1814</v>
      </c>
      <c r="C481" s="369" t="s">
        <v>828</v>
      </c>
      <c r="D481" s="372">
        <v>1</v>
      </c>
      <c r="E481" s="372">
        <v>1</v>
      </c>
      <c r="F481" s="372">
        <v>0</v>
      </c>
      <c r="G481" s="372">
        <v>0</v>
      </c>
      <c r="H481" s="372">
        <v>0</v>
      </c>
      <c r="I481" s="372">
        <v>1</v>
      </c>
      <c r="J481" s="372">
        <v>1</v>
      </c>
      <c r="K481" s="372">
        <v>0</v>
      </c>
      <c r="L481" s="372">
        <v>0</v>
      </c>
      <c r="M481" s="372">
        <v>0</v>
      </c>
      <c r="N481" s="372">
        <v>0</v>
      </c>
      <c r="O481" s="372">
        <v>0</v>
      </c>
      <c r="P481" s="372">
        <v>1</v>
      </c>
      <c r="Q481" s="372">
        <v>1</v>
      </c>
      <c r="R481" s="372">
        <v>0</v>
      </c>
      <c r="S481" s="372">
        <v>1</v>
      </c>
    </row>
    <row r="482" spans="1:19" ht="12.75">
      <c r="A482" s="369" t="s">
        <v>1258</v>
      </c>
      <c r="B482" s="369" t="s">
        <v>2162</v>
      </c>
      <c r="C482" s="369" t="s">
        <v>829</v>
      </c>
      <c r="D482" s="372">
        <v>0</v>
      </c>
      <c r="E482" s="372">
        <v>0</v>
      </c>
      <c r="F482" s="372">
        <v>0</v>
      </c>
      <c r="G482" s="372">
        <v>0</v>
      </c>
      <c r="H482" s="372">
        <v>0</v>
      </c>
      <c r="I482" s="372">
        <v>0</v>
      </c>
      <c r="J482" s="372">
        <v>0</v>
      </c>
      <c r="K482" s="372">
        <v>0</v>
      </c>
      <c r="L482" s="372">
        <v>0</v>
      </c>
      <c r="M482" s="372">
        <v>0</v>
      </c>
      <c r="N482" s="372">
        <v>0</v>
      </c>
      <c r="O482" s="372">
        <v>0</v>
      </c>
      <c r="P482" s="372">
        <v>0</v>
      </c>
      <c r="Q482" s="372">
        <v>0</v>
      </c>
      <c r="R482" s="372">
        <v>0</v>
      </c>
      <c r="S482" s="372">
        <v>0</v>
      </c>
    </row>
    <row r="483" spans="1:19" ht="12.75">
      <c r="A483" s="369" t="s">
        <v>2464</v>
      </c>
      <c r="B483" s="369" t="s">
        <v>2463</v>
      </c>
      <c r="C483" s="369" t="s">
        <v>830</v>
      </c>
      <c r="D483" s="372">
        <v>0</v>
      </c>
      <c r="E483" s="372">
        <v>0</v>
      </c>
      <c r="F483" s="372">
        <v>0</v>
      </c>
      <c r="G483" s="372">
        <v>0</v>
      </c>
      <c r="H483" s="372">
        <v>0</v>
      </c>
      <c r="I483" s="372">
        <v>0</v>
      </c>
      <c r="J483" s="372">
        <v>0</v>
      </c>
      <c r="K483" s="372">
        <v>0</v>
      </c>
      <c r="L483" s="372">
        <v>0</v>
      </c>
      <c r="M483" s="372">
        <v>0</v>
      </c>
      <c r="N483" s="372">
        <v>0</v>
      </c>
      <c r="O483" s="372">
        <v>0</v>
      </c>
      <c r="P483" s="372">
        <v>0</v>
      </c>
      <c r="Q483" s="372">
        <v>0</v>
      </c>
      <c r="R483" s="372">
        <v>0</v>
      </c>
      <c r="S483" s="372">
        <v>0</v>
      </c>
    </row>
    <row r="484" spans="1:19" ht="12.75">
      <c r="A484" s="369" t="s">
        <v>1363</v>
      </c>
      <c r="B484" s="369" t="s">
        <v>1362</v>
      </c>
      <c r="C484" s="369" t="s">
        <v>831</v>
      </c>
      <c r="D484" s="372">
        <v>0</v>
      </c>
      <c r="E484" s="372">
        <v>0</v>
      </c>
      <c r="F484" s="372">
        <v>0</v>
      </c>
      <c r="G484" s="372">
        <v>0</v>
      </c>
      <c r="H484" s="372">
        <v>0</v>
      </c>
      <c r="I484" s="372">
        <v>0</v>
      </c>
      <c r="J484" s="372">
        <v>0</v>
      </c>
      <c r="K484" s="372">
        <v>0</v>
      </c>
      <c r="L484" s="372">
        <v>0</v>
      </c>
      <c r="M484" s="372">
        <v>0</v>
      </c>
      <c r="N484" s="372">
        <v>0</v>
      </c>
      <c r="O484" s="372">
        <v>0</v>
      </c>
      <c r="P484" s="372">
        <v>0</v>
      </c>
      <c r="Q484" s="372">
        <v>0</v>
      </c>
      <c r="R484" s="372">
        <v>0</v>
      </c>
      <c r="S484" s="372">
        <v>0</v>
      </c>
    </row>
    <row r="485" spans="1:19" ht="12.75">
      <c r="A485" s="369" t="s">
        <v>2077</v>
      </c>
      <c r="B485" s="369" t="s">
        <v>1579</v>
      </c>
      <c r="C485" s="369" t="s">
        <v>832</v>
      </c>
      <c r="D485" s="372">
        <v>0</v>
      </c>
      <c r="E485" s="372">
        <v>0</v>
      </c>
      <c r="F485" s="372">
        <v>0</v>
      </c>
      <c r="G485" s="372">
        <v>0</v>
      </c>
      <c r="H485" s="372">
        <v>0</v>
      </c>
      <c r="I485" s="372">
        <v>0</v>
      </c>
      <c r="J485" s="372">
        <v>0</v>
      </c>
      <c r="K485" s="372">
        <v>0</v>
      </c>
      <c r="L485" s="372">
        <v>0</v>
      </c>
      <c r="M485" s="372">
        <v>0</v>
      </c>
      <c r="N485" s="372">
        <v>0</v>
      </c>
      <c r="O485" s="372">
        <v>0</v>
      </c>
      <c r="P485" s="372">
        <v>0</v>
      </c>
      <c r="Q485" s="372">
        <v>0</v>
      </c>
      <c r="R485" s="372">
        <v>0</v>
      </c>
      <c r="S485" s="372">
        <v>0</v>
      </c>
    </row>
    <row r="486" spans="1:19" ht="12.75">
      <c r="A486" s="369" t="s">
        <v>2220</v>
      </c>
      <c r="B486" s="369" t="s">
        <v>1364</v>
      </c>
      <c r="C486" s="369" t="s">
        <v>833</v>
      </c>
      <c r="D486" s="372">
        <v>0</v>
      </c>
      <c r="E486" s="372">
        <v>0</v>
      </c>
      <c r="F486" s="372">
        <v>0</v>
      </c>
      <c r="G486" s="372">
        <v>0</v>
      </c>
      <c r="H486" s="372">
        <v>0</v>
      </c>
      <c r="I486" s="372">
        <v>0</v>
      </c>
      <c r="J486" s="372">
        <v>0</v>
      </c>
      <c r="K486" s="372">
        <v>0</v>
      </c>
      <c r="L486" s="372">
        <v>0</v>
      </c>
      <c r="M486" s="372">
        <v>0</v>
      </c>
      <c r="N486" s="372">
        <v>0</v>
      </c>
      <c r="O486" s="372">
        <v>0</v>
      </c>
      <c r="P486" s="372">
        <v>0</v>
      </c>
      <c r="Q486" s="372">
        <v>0</v>
      </c>
      <c r="R486" s="372">
        <v>0</v>
      </c>
      <c r="S486" s="372">
        <v>0</v>
      </c>
    </row>
    <row r="487" spans="1:19" ht="12.75">
      <c r="A487" s="369" t="s">
        <v>62</v>
      </c>
      <c r="B487" s="369" t="s">
        <v>295</v>
      </c>
      <c r="C487" s="369" t="s">
        <v>834</v>
      </c>
      <c r="D487" s="372">
        <v>0</v>
      </c>
      <c r="E487" s="372">
        <v>0</v>
      </c>
      <c r="F487" s="372">
        <v>0</v>
      </c>
      <c r="G487" s="372">
        <v>0</v>
      </c>
      <c r="H487" s="372">
        <v>0</v>
      </c>
      <c r="I487" s="372">
        <v>0</v>
      </c>
      <c r="J487" s="372">
        <v>0</v>
      </c>
      <c r="K487" s="372">
        <v>0</v>
      </c>
      <c r="L487" s="372">
        <v>0</v>
      </c>
      <c r="M487" s="372">
        <v>0</v>
      </c>
      <c r="N487" s="372">
        <v>0</v>
      </c>
      <c r="O487" s="372">
        <v>0</v>
      </c>
      <c r="P487" s="372">
        <v>0</v>
      </c>
      <c r="Q487" s="372">
        <v>0</v>
      </c>
      <c r="R487" s="372">
        <v>0</v>
      </c>
      <c r="S487" s="372">
        <v>0</v>
      </c>
    </row>
    <row r="488" spans="1:19" ht="12.75">
      <c r="A488" s="369" t="s">
        <v>200</v>
      </c>
      <c r="B488" s="369" t="s">
        <v>369</v>
      </c>
      <c r="C488" s="369" t="s">
        <v>835</v>
      </c>
      <c r="D488" s="372">
        <v>0</v>
      </c>
      <c r="E488" s="372">
        <v>0</v>
      </c>
      <c r="F488" s="372">
        <v>0</v>
      </c>
      <c r="G488" s="372">
        <v>0</v>
      </c>
      <c r="H488" s="372">
        <v>0</v>
      </c>
      <c r="I488" s="372">
        <v>0</v>
      </c>
      <c r="J488" s="372">
        <v>0</v>
      </c>
      <c r="K488" s="372">
        <v>0</v>
      </c>
      <c r="L488" s="372">
        <v>0</v>
      </c>
      <c r="M488" s="372">
        <v>0</v>
      </c>
      <c r="N488" s="372">
        <v>1</v>
      </c>
      <c r="O488" s="372">
        <v>0</v>
      </c>
      <c r="P488" s="372">
        <v>0</v>
      </c>
      <c r="Q488" s="372">
        <v>0</v>
      </c>
      <c r="R488" s="372">
        <v>0</v>
      </c>
      <c r="S488" s="372">
        <v>0</v>
      </c>
    </row>
    <row r="489" spans="1:19" ht="12.75">
      <c r="A489" s="369" t="s">
        <v>2433</v>
      </c>
      <c r="B489" s="369" t="s">
        <v>63</v>
      </c>
      <c r="C489" s="369" t="s">
        <v>836</v>
      </c>
      <c r="D489" s="372">
        <v>0</v>
      </c>
      <c r="E489" s="372">
        <v>0</v>
      </c>
      <c r="F489" s="372">
        <v>0</v>
      </c>
      <c r="G489" s="372">
        <v>0</v>
      </c>
      <c r="H489" s="372">
        <v>0</v>
      </c>
      <c r="I489" s="372">
        <v>0</v>
      </c>
      <c r="J489" s="372">
        <v>0</v>
      </c>
      <c r="K489" s="372">
        <v>0</v>
      </c>
      <c r="L489" s="372">
        <v>0</v>
      </c>
      <c r="M489" s="372">
        <v>0</v>
      </c>
      <c r="N489" s="372">
        <v>0</v>
      </c>
      <c r="O489" s="372">
        <v>0</v>
      </c>
      <c r="P489" s="372">
        <v>0</v>
      </c>
      <c r="Q489" s="372">
        <v>0</v>
      </c>
      <c r="R489" s="372">
        <v>0</v>
      </c>
      <c r="S489" s="372">
        <v>0</v>
      </c>
    </row>
    <row r="490" spans="1:19" ht="12.75">
      <c r="A490" s="369" t="s">
        <v>2466</v>
      </c>
      <c r="B490" s="369" t="s">
        <v>2465</v>
      </c>
      <c r="C490" s="369" t="s">
        <v>837</v>
      </c>
      <c r="D490" s="372">
        <v>0</v>
      </c>
      <c r="E490" s="372">
        <v>0</v>
      </c>
      <c r="F490" s="372">
        <v>0</v>
      </c>
      <c r="G490" s="372">
        <v>0</v>
      </c>
      <c r="H490" s="372">
        <v>0</v>
      </c>
      <c r="I490" s="372">
        <v>0</v>
      </c>
      <c r="J490" s="372">
        <v>0</v>
      </c>
      <c r="K490" s="372">
        <v>0</v>
      </c>
      <c r="L490" s="372">
        <v>0</v>
      </c>
      <c r="M490" s="372">
        <v>0</v>
      </c>
      <c r="N490" s="372">
        <v>0</v>
      </c>
      <c r="O490" s="372">
        <v>0</v>
      </c>
      <c r="P490" s="372">
        <v>0</v>
      </c>
      <c r="Q490" s="372">
        <v>0</v>
      </c>
      <c r="R490" s="372">
        <v>0</v>
      </c>
      <c r="S490" s="372">
        <v>0</v>
      </c>
    </row>
    <row r="491" spans="1:19" ht="12.75">
      <c r="A491" s="369" t="s">
        <v>2503</v>
      </c>
      <c r="B491" s="369" t="s">
        <v>1945</v>
      </c>
      <c r="C491" s="369" t="s">
        <v>838</v>
      </c>
      <c r="D491" s="372">
        <v>0</v>
      </c>
      <c r="E491" s="372">
        <v>0</v>
      </c>
      <c r="F491" s="372">
        <v>0</v>
      </c>
      <c r="G491" s="372">
        <v>0</v>
      </c>
      <c r="H491" s="372">
        <v>0</v>
      </c>
      <c r="I491" s="372">
        <v>0</v>
      </c>
      <c r="J491" s="372">
        <v>0</v>
      </c>
      <c r="K491" s="372">
        <v>0</v>
      </c>
      <c r="L491" s="372">
        <v>0</v>
      </c>
      <c r="M491" s="372">
        <v>0</v>
      </c>
      <c r="N491" s="372">
        <v>0</v>
      </c>
      <c r="O491" s="372">
        <v>0</v>
      </c>
      <c r="P491" s="372">
        <v>0</v>
      </c>
      <c r="Q491" s="372">
        <v>0</v>
      </c>
      <c r="R491" s="372">
        <v>0</v>
      </c>
      <c r="S491" s="372">
        <v>0</v>
      </c>
    </row>
    <row r="492" spans="1:19" ht="12.75">
      <c r="A492" s="369" t="s">
        <v>2228</v>
      </c>
      <c r="B492" s="369" t="s">
        <v>1815</v>
      </c>
      <c r="C492" s="369"/>
      <c r="D492" s="372">
        <v>1</v>
      </c>
      <c r="E492" s="372">
        <v>1</v>
      </c>
      <c r="F492" s="372">
        <v>0</v>
      </c>
      <c r="G492" s="372">
        <v>0</v>
      </c>
      <c r="H492" s="372">
        <v>0</v>
      </c>
      <c r="I492" s="372">
        <v>1</v>
      </c>
      <c r="J492" s="372">
        <v>0</v>
      </c>
      <c r="K492" s="372">
        <v>0</v>
      </c>
      <c r="L492" s="372">
        <v>0</v>
      </c>
      <c r="M492" s="372">
        <v>1</v>
      </c>
      <c r="N492" s="372">
        <v>0</v>
      </c>
      <c r="O492" s="372">
        <v>0</v>
      </c>
      <c r="P492" s="372">
        <v>0</v>
      </c>
      <c r="Q492" s="372">
        <v>0</v>
      </c>
      <c r="R492" s="372">
        <v>1</v>
      </c>
      <c r="S492" s="372">
        <v>1</v>
      </c>
    </row>
    <row r="493" spans="1:19" ht="12.75">
      <c r="A493" s="369" t="s">
        <v>2505</v>
      </c>
      <c r="B493" s="369" t="s">
        <v>2504</v>
      </c>
      <c r="C493" s="369" t="s">
        <v>839</v>
      </c>
      <c r="D493" s="372">
        <v>0</v>
      </c>
      <c r="E493" s="372">
        <v>0</v>
      </c>
      <c r="F493" s="372">
        <v>0</v>
      </c>
      <c r="G493" s="372">
        <v>0</v>
      </c>
      <c r="H493" s="372">
        <v>0</v>
      </c>
      <c r="I493" s="372">
        <v>0</v>
      </c>
      <c r="J493" s="372">
        <v>0</v>
      </c>
      <c r="K493" s="372">
        <v>0</v>
      </c>
      <c r="L493" s="372">
        <v>0</v>
      </c>
      <c r="M493" s="372">
        <v>0</v>
      </c>
      <c r="N493" s="372">
        <v>0</v>
      </c>
      <c r="O493" s="372">
        <v>0</v>
      </c>
      <c r="P493" s="372">
        <v>0</v>
      </c>
      <c r="Q493" s="372">
        <v>0</v>
      </c>
      <c r="R493" s="372">
        <v>0</v>
      </c>
      <c r="S493" s="372">
        <v>0</v>
      </c>
    </row>
    <row r="494" spans="1:19" ht="12.75">
      <c r="A494" s="369" t="s">
        <v>380</v>
      </c>
      <c r="B494" s="369" t="s">
        <v>2467</v>
      </c>
      <c r="C494" s="369" t="s">
        <v>840</v>
      </c>
      <c r="D494" s="372">
        <v>0</v>
      </c>
      <c r="E494" s="372">
        <v>0</v>
      </c>
      <c r="F494" s="372">
        <v>0</v>
      </c>
      <c r="G494" s="372">
        <v>0</v>
      </c>
      <c r="H494" s="372">
        <v>0</v>
      </c>
      <c r="I494" s="372">
        <v>0</v>
      </c>
      <c r="J494" s="372">
        <v>0</v>
      </c>
      <c r="K494" s="372">
        <v>0</v>
      </c>
      <c r="L494" s="372">
        <v>0</v>
      </c>
      <c r="M494" s="372">
        <v>0</v>
      </c>
      <c r="N494" s="372">
        <v>0</v>
      </c>
      <c r="O494" s="372">
        <v>0</v>
      </c>
      <c r="P494" s="372">
        <v>0</v>
      </c>
      <c r="Q494" s="372">
        <v>0</v>
      </c>
      <c r="R494" s="372">
        <v>0</v>
      </c>
      <c r="S494" s="372">
        <v>0</v>
      </c>
    </row>
    <row r="495" spans="1:19" ht="12.75">
      <c r="A495" s="369" t="s">
        <v>2507</v>
      </c>
      <c r="B495" s="369" t="s">
        <v>2506</v>
      </c>
      <c r="C495" s="369" t="s">
        <v>841</v>
      </c>
      <c r="D495" s="372">
        <v>0</v>
      </c>
      <c r="E495" s="372">
        <v>0</v>
      </c>
      <c r="F495" s="372">
        <v>0</v>
      </c>
      <c r="G495" s="372">
        <v>0</v>
      </c>
      <c r="H495" s="372">
        <v>0</v>
      </c>
      <c r="I495" s="372">
        <v>0</v>
      </c>
      <c r="J495" s="372">
        <v>0</v>
      </c>
      <c r="K495" s="372">
        <v>0</v>
      </c>
      <c r="L495" s="372">
        <v>0</v>
      </c>
      <c r="M495" s="372">
        <v>0</v>
      </c>
      <c r="N495" s="372">
        <v>0</v>
      </c>
      <c r="O495" s="372">
        <v>0</v>
      </c>
      <c r="P495" s="372">
        <v>0</v>
      </c>
      <c r="Q495" s="372">
        <v>0</v>
      </c>
      <c r="R495" s="372">
        <v>0</v>
      </c>
      <c r="S495" s="372">
        <v>0</v>
      </c>
    </row>
    <row r="496" spans="1:19" ht="12.75">
      <c r="A496" s="369" t="s">
        <v>2392</v>
      </c>
      <c r="B496" s="369" t="s">
        <v>1453</v>
      </c>
      <c r="C496" s="369" t="s">
        <v>842</v>
      </c>
      <c r="D496" s="372">
        <v>0</v>
      </c>
      <c r="E496" s="372">
        <v>0</v>
      </c>
      <c r="F496" s="372">
        <v>0</v>
      </c>
      <c r="G496" s="372">
        <v>0</v>
      </c>
      <c r="H496" s="372">
        <v>0</v>
      </c>
      <c r="I496" s="372">
        <v>0</v>
      </c>
      <c r="J496" s="372">
        <v>0</v>
      </c>
      <c r="K496" s="372">
        <v>0</v>
      </c>
      <c r="L496" s="372">
        <v>0</v>
      </c>
      <c r="M496" s="372">
        <v>0</v>
      </c>
      <c r="N496" s="372">
        <v>0</v>
      </c>
      <c r="O496" s="372">
        <v>0</v>
      </c>
      <c r="P496" s="372">
        <v>0</v>
      </c>
      <c r="Q496" s="372">
        <v>0</v>
      </c>
      <c r="R496" s="372">
        <v>0</v>
      </c>
      <c r="S496" s="372">
        <v>0</v>
      </c>
    </row>
    <row r="497" spans="1:19" ht="12.75">
      <c r="A497" s="369" t="s">
        <v>26</v>
      </c>
      <c r="B497" s="369" t="s">
        <v>27</v>
      </c>
      <c r="C497" s="369"/>
      <c r="D497" s="372">
        <v>0</v>
      </c>
      <c r="E497" s="372">
        <v>0</v>
      </c>
      <c r="F497" s="372">
        <v>0</v>
      </c>
      <c r="G497" s="372">
        <v>0</v>
      </c>
      <c r="H497" s="372">
        <v>0</v>
      </c>
      <c r="I497" s="372">
        <v>0</v>
      </c>
      <c r="J497" s="372">
        <v>0</v>
      </c>
      <c r="K497" s="372">
        <v>0</v>
      </c>
      <c r="L497" s="372">
        <v>0</v>
      </c>
      <c r="M497" s="372">
        <v>0</v>
      </c>
      <c r="N497" s="372">
        <v>0</v>
      </c>
      <c r="O497" s="372">
        <v>0</v>
      </c>
      <c r="P497" s="372">
        <v>0</v>
      </c>
      <c r="Q497" s="372">
        <v>0</v>
      </c>
      <c r="R497" s="372">
        <v>0</v>
      </c>
      <c r="S497" s="372">
        <v>0</v>
      </c>
    </row>
    <row r="498" spans="1:19" ht="12.75">
      <c r="A498" s="369" t="s">
        <v>1755</v>
      </c>
      <c r="B498" s="369" t="s">
        <v>2508</v>
      </c>
      <c r="C498" s="369" t="s">
        <v>843</v>
      </c>
      <c r="D498" s="372">
        <v>0</v>
      </c>
      <c r="E498" s="372">
        <v>0</v>
      </c>
      <c r="F498" s="372">
        <v>0</v>
      </c>
      <c r="G498" s="372">
        <v>0</v>
      </c>
      <c r="H498" s="372">
        <v>0</v>
      </c>
      <c r="I498" s="372">
        <v>0</v>
      </c>
      <c r="J498" s="372">
        <v>0</v>
      </c>
      <c r="K498" s="372">
        <v>0</v>
      </c>
      <c r="L498" s="372">
        <v>0</v>
      </c>
      <c r="M498" s="372">
        <v>0</v>
      </c>
      <c r="N498" s="372">
        <v>0</v>
      </c>
      <c r="O498" s="372">
        <v>0</v>
      </c>
      <c r="P498" s="372">
        <v>0</v>
      </c>
      <c r="Q498" s="372">
        <v>0</v>
      </c>
      <c r="R498" s="372">
        <v>0</v>
      </c>
      <c r="S498" s="372">
        <v>0</v>
      </c>
    </row>
    <row r="499" spans="1:19" ht="12.75">
      <c r="A499" s="369" t="s">
        <v>2393</v>
      </c>
      <c r="B499" s="369" t="s">
        <v>1816</v>
      </c>
      <c r="C499" s="369" t="s">
        <v>844</v>
      </c>
      <c r="D499" s="372">
        <v>1</v>
      </c>
      <c r="E499" s="372">
        <v>0</v>
      </c>
      <c r="F499" s="372">
        <v>0</v>
      </c>
      <c r="G499" s="372">
        <v>1</v>
      </c>
      <c r="H499" s="372">
        <v>1</v>
      </c>
      <c r="I499" s="372">
        <v>1</v>
      </c>
      <c r="J499" s="372">
        <v>1</v>
      </c>
      <c r="K499" s="372">
        <v>1</v>
      </c>
      <c r="L499" s="372">
        <v>0</v>
      </c>
      <c r="M499" s="372">
        <v>1</v>
      </c>
      <c r="N499" s="372">
        <v>1</v>
      </c>
      <c r="O499" s="372">
        <v>1</v>
      </c>
      <c r="P499" s="372">
        <v>1</v>
      </c>
      <c r="Q499" s="372">
        <v>0</v>
      </c>
      <c r="R499" s="372">
        <v>1</v>
      </c>
      <c r="S499" s="372">
        <v>1</v>
      </c>
    </row>
    <row r="500" spans="1:19" ht="12.75">
      <c r="A500" s="369" t="s">
        <v>1147</v>
      </c>
      <c r="B500" s="369" t="s">
        <v>1817</v>
      </c>
      <c r="C500" s="369" t="s">
        <v>845</v>
      </c>
      <c r="D500" s="372">
        <v>0</v>
      </c>
      <c r="E500" s="372">
        <v>0</v>
      </c>
      <c r="F500" s="372">
        <v>1</v>
      </c>
      <c r="G500" s="372">
        <v>0</v>
      </c>
      <c r="H500" s="372">
        <v>0</v>
      </c>
      <c r="I500" s="372">
        <v>1</v>
      </c>
      <c r="J500" s="372">
        <v>1</v>
      </c>
      <c r="K500" s="372">
        <v>1</v>
      </c>
      <c r="L500" s="372">
        <v>1</v>
      </c>
      <c r="M500" s="372">
        <v>0</v>
      </c>
      <c r="N500" s="372">
        <v>1</v>
      </c>
      <c r="O500" s="372">
        <v>0</v>
      </c>
      <c r="P500" s="372">
        <v>0</v>
      </c>
      <c r="Q500" s="372">
        <v>1</v>
      </c>
      <c r="R500" s="372">
        <v>0</v>
      </c>
      <c r="S500" s="372">
        <v>1</v>
      </c>
    </row>
    <row r="501" spans="1:19" ht="12.75">
      <c r="A501" s="369" t="s">
        <v>2015</v>
      </c>
      <c r="B501" s="369" t="s">
        <v>2016</v>
      </c>
      <c r="C501" s="369"/>
      <c r="D501" s="372">
        <v>0</v>
      </c>
      <c r="E501" s="372">
        <v>0</v>
      </c>
      <c r="F501" s="372">
        <v>0</v>
      </c>
      <c r="G501" s="372">
        <v>0</v>
      </c>
      <c r="H501" s="372">
        <v>0</v>
      </c>
      <c r="I501" s="372">
        <v>0</v>
      </c>
      <c r="J501" s="372">
        <v>0</v>
      </c>
      <c r="K501" s="372">
        <v>0</v>
      </c>
      <c r="L501" s="372">
        <v>0</v>
      </c>
      <c r="M501" s="372">
        <v>0</v>
      </c>
      <c r="N501" s="372">
        <v>0</v>
      </c>
      <c r="O501" s="372">
        <v>0</v>
      </c>
      <c r="P501" s="372">
        <v>0</v>
      </c>
      <c r="Q501" s="372">
        <v>0</v>
      </c>
      <c r="R501" s="372">
        <v>0</v>
      </c>
      <c r="S501" s="372">
        <v>0</v>
      </c>
    </row>
    <row r="502" spans="1:19" ht="12.75">
      <c r="A502" s="369" t="s">
        <v>1429</v>
      </c>
      <c r="B502" s="369" t="s">
        <v>1682</v>
      </c>
      <c r="C502" s="369" t="s">
        <v>846</v>
      </c>
      <c r="D502" s="372">
        <v>0</v>
      </c>
      <c r="E502" s="372">
        <v>0</v>
      </c>
      <c r="F502" s="372">
        <v>0</v>
      </c>
      <c r="G502" s="372">
        <v>0</v>
      </c>
      <c r="H502" s="372">
        <v>0</v>
      </c>
      <c r="I502" s="372">
        <v>0</v>
      </c>
      <c r="J502" s="372">
        <v>0</v>
      </c>
      <c r="K502" s="372">
        <v>0</v>
      </c>
      <c r="L502" s="372">
        <v>0</v>
      </c>
      <c r="M502" s="372">
        <v>0</v>
      </c>
      <c r="N502" s="372">
        <v>0</v>
      </c>
      <c r="O502" s="372">
        <v>0</v>
      </c>
      <c r="P502" s="372">
        <v>0</v>
      </c>
      <c r="Q502" s="372">
        <v>0</v>
      </c>
      <c r="R502" s="372">
        <v>0</v>
      </c>
      <c r="S502" s="372">
        <v>0</v>
      </c>
    </row>
    <row r="503" spans="1:19" ht="12.75">
      <c r="A503" s="369" t="s">
        <v>1757</v>
      </c>
      <c r="B503" s="369" t="s">
        <v>1756</v>
      </c>
      <c r="C503" s="369" t="s">
        <v>847</v>
      </c>
      <c r="D503" s="372">
        <v>0</v>
      </c>
      <c r="E503" s="372">
        <v>0</v>
      </c>
      <c r="F503" s="372">
        <v>0</v>
      </c>
      <c r="G503" s="372">
        <v>0</v>
      </c>
      <c r="H503" s="372">
        <v>0</v>
      </c>
      <c r="I503" s="372">
        <v>0</v>
      </c>
      <c r="J503" s="372">
        <v>0</v>
      </c>
      <c r="K503" s="372">
        <v>0</v>
      </c>
      <c r="L503" s="372">
        <v>0</v>
      </c>
      <c r="M503" s="372">
        <v>0</v>
      </c>
      <c r="N503" s="372">
        <v>0</v>
      </c>
      <c r="O503" s="372">
        <v>0</v>
      </c>
      <c r="P503" s="372">
        <v>0</v>
      </c>
      <c r="Q503" s="372">
        <v>0</v>
      </c>
      <c r="R503" s="372">
        <v>0</v>
      </c>
      <c r="S503" s="372">
        <v>0</v>
      </c>
    </row>
    <row r="504" spans="1:19" ht="12.75">
      <c r="A504" s="369" t="s">
        <v>1433</v>
      </c>
      <c r="B504" s="369" t="s">
        <v>1432</v>
      </c>
      <c r="C504" s="369" t="s">
        <v>848</v>
      </c>
      <c r="D504" s="372">
        <v>0</v>
      </c>
      <c r="E504" s="372">
        <v>0</v>
      </c>
      <c r="F504" s="372">
        <v>0</v>
      </c>
      <c r="G504" s="372">
        <v>0</v>
      </c>
      <c r="H504" s="372">
        <v>0</v>
      </c>
      <c r="I504" s="372">
        <v>0</v>
      </c>
      <c r="J504" s="372">
        <v>0</v>
      </c>
      <c r="K504" s="372">
        <v>0</v>
      </c>
      <c r="L504" s="372">
        <v>0</v>
      </c>
      <c r="M504" s="372">
        <v>0</v>
      </c>
      <c r="N504" s="372">
        <v>0</v>
      </c>
      <c r="O504" s="372">
        <v>0</v>
      </c>
      <c r="P504" s="372">
        <v>0</v>
      </c>
      <c r="Q504" s="372">
        <v>0</v>
      </c>
      <c r="R504" s="372">
        <v>0</v>
      </c>
      <c r="S504" s="372">
        <v>0</v>
      </c>
    </row>
    <row r="505" spans="1:19" ht="12.75">
      <c r="A505" s="369" t="s">
        <v>1691</v>
      </c>
      <c r="B505" s="369" t="s">
        <v>1818</v>
      </c>
      <c r="C505" s="369" t="s">
        <v>849</v>
      </c>
      <c r="D505" s="372">
        <v>1</v>
      </c>
      <c r="E505" s="372">
        <v>0</v>
      </c>
      <c r="F505" s="372">
        <v>0</v>
      </c>
      <c r="G505" s="372">
        <v>1</v>
      </c>
      <c r="H505" s="372">
        <v>1</v>
      </c>
      <c r="I505" s="372">
        <v>1</v>
      </c>
      <c r="J505" s="372">
        <v>1</v>
      </c>
      <c r="K505" s="372">
        <v>0</v>
      </c>
      <c r="L505" s="372">
        <v>0</v>
      </c>
      <c r="M505" s="372">
        <v>0</v>
      </c>
      <c r="N505" s="372">
        <v>0</v>
      </c>
      <c r="O505" s="372">
        <v>1</v>
      </c>
      <c r="P505" s="372">
        <v>0</v>
      </c>
      <c r="Q505" s="372">
        <v>0</v>
      </c>
      <c r="R505" s="372">
        <v>0</v>
      </c>
      <c r="S505" s="372">
        <v>0</v>
      </c>
    </row>
    <row r="506" spans="1:19" ht="12.75">
      <c r="A506" s="369" t="s">
        <v>1288</v>
      </c>
      <c r="B506" s="369" t="s">
        <v>1896</v>
      </c>
      <c r="C506" s="369" t="s">
        <v>850</v>
      </c>
      <c r="D506" s="372">
        <v>0</v>
      </c>
      <c r="E506" s="372">
        <v>0</v>
      </c>
      <c r="F506" s="372">
        <v>0</v>
      </c>
      <c r="G506" s="372">
        <v>0</v>
      </c>
      <c r="H506" s="372">
        <v>0</v>
      </c>
      <c r="I506" s="372">
        <v>0</v>
      </c>
      <c r="J506" s="372">
        <v>0</v>
      </c>
      <c r="K506" s="372">
        <v>0</v>
      </c>
      <c r="L506" s="372">
        <v>0</v>
      </c>
      <c r="M506" s="372">
        <v>0</v>
      </c>
      <c r="N506" s="372">
        <v>0</v>
      </c>
      <c r="O506" s="372">
        <v>0</v>
      </c>
      <c r="P506" s="372">
        <v>0</v>
      </c>
      <c r="Q506" s="372">
        <v>0</v>
      </c>
      <c r="R506" s="372">
        <v>0</v>
      </c>
      <c r="S506" s="372">
        <v>0</v>
      </c>
    </row>
    <row r="507" spans="1:19" ht="12.75">
      <c r="A507" s="369" t="s">
        <v>1290</v>
      </c>
      <c r="B507" s="369" t="s">
        <v>1289</v>
      </c>
      <c r="C507" s="369" t="s">
        <v>851</v>
      </c>
      <c r="D507" s="372">
        <v>0</v>
      </c>
      <c r="E507" s="372">
        <v>0</v>
      </c>
      <c r="F507" s="372">
        <v>0</v>
      </c>
      <c r="G507" s="372">
        <v>0</v>
      </c>
      <c r="H507" s="372">
        <v>0</v>
      </c>
      <c r="I507" s="372">
        <v>0</v>
      </c>
      <c r="J507" s="372">
        <v>0</v>
      </c>
      <c r="K507" s="372">
        <v>0</v>
      </c>
      <c r="L507" s="372">
        <v>0</v>
      </c>
      <c r="M507" s="372">
        <v>0</v>
      </c>
      <c r="N507" s="372">
        <v>0</v>
      </c>
      <c r="O507" s="372">
        <v>0</v>
      </c>
      <c r="P507" s="372">
        <v>0</v>
      </c>
      <c r="Q507" s="372">
        <v>0</v>
      </c>
      <c r="R507" s="372">
        <v>0</v>
      </c>
      <c r="S507" s="372">
        <v>0</v>
      </c>
    </row>
    <row r="508" spans="1:19" ht="12.75">
      <c r="A508" s="369" t="s">
        <v>1964</v>
      </c>
      <c r="B508" s="369" t="s">
        <v>1291</v>
      </c>
      <c r="C508" s="369"/>
      <c r="D508" s="372">
        <v>1</v>
      </c>
      <c r="E508" s="372">
        <v>0</v>
      </c>
      <c r="F508" s="372">
        <v>1</v>
      </c>
      <c r="G508" s="372">
        <v>0</v>
      </c>
      <c r="H508" s="372">
        <v>0</v>
      </c>
      <c r="I508" s="372">
        <v>1</v>
      </c>
      <c r="J508" s="372">
        <v>1</v>
      </c>
      <c r="K508" s="372">
        <v>0</v>
      </c>
      <c r="L508" s="372">
        <v>1</v>
      </c>
      <c r="M508" s="372">
        <v>1</v>
      </c>
      <c r="N508" s="372">
        <v>0</v>
      </c>
      <c r="O508" s="372">
        <v>0</v>
      </c>
      <c r="P508" s="372">
        <v>1</v>
      </c>
      <c r="Q508" s="372">
        <v>0</v>
      </c>
      <c r="R508" s="372">
        <v>0</v>
      </c>
      <c r="S508" s="372">
        <v>0</v>
      </c>
    </row>
    <row r="509" spans="1:19" ht="12.75">
      <c r="A509" s="369" t="s">
        <v>2328</v>
      </c>
      <c r="B509" s="369" t="s">
        <v>1819</v>
      </c>
      <c r="C509" s="369" t="s">
        <v>852</v>
      </c>
      <c r="D509" s="372">
        <v>0</v>
      </c>
      <c r="E509" s="372">
        <v>0</v>
      </c>
      <c r="F509" s="372">
        <v>0</v>
      </c>
      <c r="G509" s="372">
        <v>0</v>
      </c>
      <c r="H509" s="372">
        <v>0</v>
      </c>
      <c r="I509" s="372">
        <v>0</v>
      </c>
      <c r="J509" s="372">
        <v>0</v>
      </c>
      <c r="K509" s="372">
        <v>0</v>
      </c>
      <c r="L509" s="372">
        <v>0</v>
      </c>
      <c r="M509" s="372">
        <v>0</v>
      </c>
      <c r="N509" s="372">
        <v>0</v>
      </c>
      <c r="O509" s="372">
        <v>0</v>
      </c>
      <c r="P509" s="372">
        <v>0</v>
      </c>
      <c r="Q509" s="372">
        <v>0</v>
      </c>
      <c r="R509" s="372">
        <v>0</v>
      </c>
      <c r="S509" s="372">
        <v>0</v>
      </c>
    </row>
    <row r="510" spans="1:19" ht="12.75">
      <c r="A510" s="369" t="s">
        <v>1431</v>
      </c>
      <c r="B510" s="369" t="s">
        <v>1430</v>
      </c>
      <c r="C510" s="369" t="s">
        <v>853</v>
      </c>
      <c r="D510" s="372">
        <v>0</v>
      </c>
      <c r="E510" s="372">
        <v>0</v>
      </c>
      <c r="F510" s="372">
        <v>0</v>
      </c>
      <c r="G510" s="372">
        <v>0</v>
      </c>
      <c r="H510" s="372">
        <v>0</v>
      </c>
      <c r="I510" s="372">
        <v>0</v>
      </c>
      <c r="J510" s="372">
        <v>0</v>
      </c>
      <c r="K510" s="372">
        <v>0</v>
      </c>
      <c r="L510" s="372">
        <v>0</v>
      </c>
      <c r="M510" s="372">
        <v>0</v>
      </c>
      <c r="N510" s="372">
        <v>0</v>
      </c>
      <c r="O510" s="372">
        <v>0</v>
      </c>
      <c r="P510" s="372">
        <v>0</v>
      </c>
      <c r="Q510" s="372">
        <v>0</v>
      </c>
      <c r="R510" s="372">
        <v>0</v>
      </c>
      <c r="S510" s="372">
        <v>0</v>
      </c>
    </row>
    <row r="511" spans="1:19" ht="12.75">
      <c r="A511" s="369" t="s">
        <v>1966</v>
      </c>
      <c r="B511" s="369" t="s">
        <v>1965</v>
      </c>
      <c r="C511" s="369" t="s">
        <v>854</v>
      </c>
      <c r="D511" s="372">
        <v>0</v>
      </c>
      <c r="E511" s="372">
        <v>0</v>
      </c>
      <c r="F511" s="372">
        <v>0</v>
      </c>
      <c r="G511" s="372">
        <v>0</v>
      </c>
      <c r="H511" s="372">
        <v>0</v>
      </c>
      <c r="I511" s="372">
        <v>0</v>
      </c>
      <c r="J511" s="372">
        <v>0</v>
      </c>
      <c r="K511" s="372">
        <v>0</v>
      </c>
      <c r="L511" s="372">
        <v>0</v>
      </c>
      <c r="M511" s="372">
        <v>0</v>
      </c>
      <c r="N511" s="372">
        <v>0</v>
      </c>
      <c r="O511" s="372">
        <v>0</v>
      </c>
      <c r="P511" s="372">
        <v>0</v>
      </c>
      <c r="Q511" s="372">
        <v>0</v>
      </c>
      <c r="R511" s="372">
        <v>0</v>
      </c>
      <c r="S511" s="372">
        <v>0</v>
      </c>
    </row>
    <row r="512" spans="1:19" ht="12.75">
      <c r="A512" s="369" t="s">
        <v>2329</v>
      </c>
      <c r="B512" s="369" t="s">
        <v>1820</v>
      </c>
      <c r="C512" s="369" t="s">
        <v>855</v>
      </c>
      <c r="D512" s="372">
        <v>1</v>
      </c>
      <c r="E512" s="372">
        <v>1</v>
      </c>
      <c r="F512" s="372">
        <v>1</v>
      </c>
      <c r="G512" s="372">
        <v>1</v>
      </c>
      <c r="H512" s="372">
        <v>1</v>
      </c>
      <c r="I512" s="372">
        <v>1</v>
      </c>
      <c r="J512" s="372">
        <v>1</v>
      </c>
      <c r="K512" s="372">
        <v>1</v>
      </c>
      <c r="L512" s="372">
        <v>1</v>
      </c>
      <c r="M512" s="372">
        <v>1</v>
      </c>
      <c r="N512" s="372">
        <v>1</v>
      </c>
      <c r="O512" s="372">
        <v>1</v>
      </c>
      <c r="P512" s="372">
        <v>1</v>
      </c>
      <c r="Q512" s="372">
        <v>0</v>
      </c>
      <c r="R512" s="372">
        <v>1</v>
      </c>
      <c r="S512" s="372">
        <v>1</v>
      </c>
    </row>
    <row r="513" spans="1:19" ht="12.75">
      <c r="A513" s="369" t="s">
        <v>1552</v>
      </c>
      <c r="B513" s="369" t="s">
        <v>1398</v>
      </c>
      <c r="C513" s="369" t="s">
        <v>856</v>
      </c>
      <c r="D513" s="372">
        <v>0</v>
      </c>
      <c r="E513" s="372">
        <v>0</v>
      </c>
      <c r="F513" s="372">
        <v>0</v>
      </c>
      <c r="G513" s="372">
        <v>0</v>
      </c>
      <c r="H513" s="372">
        <v>0</v>
      </c>
      <c r="I513" s="372">
        <v>0</v>
      </c>
      <c r="J513" s="372">
        <v>0</v>
      </c>
      <c r="K513" s="372">
        <v>0</v>
      </c>
      <c r="L513" s="372">
        <v>0</v>
      </c>
      <c r="M513" s="372">
        <v>0</v>
      </c>
      <c r="N513" s="372">
        <v>0</v>
      </c>
      <c r="O513" s="372">
        <v>0</v>
      </c>
      <c r="P513" s="372">
        <v>0</v>
      </c>
      <c r="Q513" s="372">
        <v>0</v>
      </c>
      <c r="R513" s="372">
        <v>1</v>
      </c>
      <c r="S513" s="372">
        <v>0</v>
      </c>
    </row>
    <row r="514" spans="1:19" ht="12.75">
      <c r="A514" s="369" t="s">
        <v>302</v>
      </c>
      <c r="B514" s="369" t="s">
        <v>301</v>
      </c>
      <c r="C514" s="369" t="s">
        <v>857</v>
      </c>
      <c r="D514" s="372">
        <v>0</v>
      </c>
      <c r="E514" s="372">
        <v>0</v>
      </c>
      <c r="F514" s="372">
        <v>0</v>
      </c>
      <c r="G514" s="372">
        <v>0</v>
      </c>
      <c r="H514" s="372">
        <v>0</v>
      </c>
      <c r="I514" s="372">
        <v>0</v>
      </c>
      <c r="J514" s="372">
        <v>0</v>
      </c>
      <c r="K514" s="372">
        <v>0</v>
      </c>
      <c r="L514" s="372">
        <v>0</v>
      </c>
      <c r="M514" s="372">
        <v>0</v>
      </c>
      <c r="N514" s="372">
        <v>0</v>
      </c>
      <c r="O514" s="372">
        <v>0</v>
      </c>
      <c r="P514" s="372">
        <v>0</v>
      </c>
      <c r="Q514" s="372">
        <v>0</v>
      </c>
      <c r="R514" s="372">
        <v>0</v>
      </c>
      <c r="S514" s="372">
        <v>0</v>
      </c>
    </row>
    <row r="515" spans="1:19" ht="12.75">
      <c r="A515" s="369" t="s">
        <v>1901</v>
      </c>
      <c r="B515" s="369" t="s">
        <v>110</v>
      </c>
      <c r="C515" s="369" t="s">
        <v>858</v>
      </c>
      <c r="D515" s="372">
        <v>0</v>
      </c>
      <c r="E515" s="372">
        <v>0</v>
      </c>
      <c r="F515" s="372">
        <v>0</v>
      </c>
      <c r="G515" s="372">
        <v>0</v>
      </c>
      <c r="H515" s="372">
        <v>0</v>
      </c>
      <c r="I515" s="372">
        <v>0</v>
      </c>
      <c r="J515" s="372">
        <v>0</v>
      </c>
      <c r="K515" s="372">
        <v>0</v>
      </c>
      <c r="L515" s="372">
        <v>0</v>
      </c>
      <c r="M515" s="372">
        <v>0</v>
      </c>
      <c r="N515" s="372">
        <v>0</v>
      </c>
      <c r="O515" s="372">
        <v>0</v>
      </c>
      <c r="P515" s="372">
        <v>0</v>
      </c>
      <c r="Q515" s="372">
        <v>0</v>
      </c>
      <c r="R515" s="372">
        <v>0</v>
      </c>
      <c r="S515" s="372">
        <v>0</v>
      </c>
    </row>
    <row r="516" spans="1:19" ht="12.75">
      <c r="A516" s="369" t="s">
        <v>1823</v>
      </c>
      <c r="B516" s="369" t="s">
        <v>2236</v>
      </c>
      <c r="C516" s="369" t="s">
        <v>859</v>
      </c>
      <c r="D516" s="372">
        <v>1</v>
      </c>
      <c r="E516" s="372">
        <v>1</v>
      </c>
      <c r="F516" s="372">
        <v>1</v>
      </c>
      <c r="G516" s="372">
        <v>1</v>
      </c>
      <c r="H516" s="372">
        <v>1</v>
      </c>
      <c r="I516" s="372">
        <v>1</v>
      </c>
      <c r="J516" s="372">
        <v>1</v>
      </c>
      <c r="K516" s="372">
        <v>0</v>
      </c>
      <c r="L516" s="372">
        <v>1</v>
      </c>
      <c r="M516" s="372">
        <v>1</v>
      </c>
      <c r="N516" s="372">
        <v>0</v>
      </c>
      <c r="O516" s="372">
        <v>1</v>
      </c>
      <c r="P516" s="372">
        <v>1</v>
      </c>
      <c r="Q516" s="372">
        <v>0</v>
      </c>
      <c r="R516" s="372">
        <v>1</v>
      </c>
      <c r="S516" s="372">
        <v>1</v>
      </c>
    </row>
    <row r="517" spans="1:19" ht="12.75">
      <c r="A517" s="369" t="s">
        <v>1905</v>
      </c>
      <c r="B517" s="369" t="s">
        <v>1904</v>
      </c>
      <c r="C517" s="369" t="s">
        <v>860</v>
      </c>
      <c r="D517" s="372">
        <v>0</v>
      </c>
      <c r="E517" s="372">
        <v>0</v>
      </c>
      <c r="F517" s="372">
        <v>0</v>
      </c>
      <c r="G517" s="372">
        <v>0</v>
      </c>
      <c r="H517" s="372">
        <v>0</v>
      </c>
      <c r="I517" s="372">
        <v>0</v>
      </c>
      <c r="J517" s="372">
        <v>0</v>
      </c>
      <c r="K517" s="372">
        <v>0</v>
      </c>
      <c r="L517" s="372">
        <v>0</v>
      </c>
      <c r="M517" s="372">
        <v>0</v>
      </c>
      <c r="N517" s="372">
        <v>0</v>
      </c>
      <c r="O517" s="372">
        <v>0</v>
      </c>
      <c r="P517" s="372">
        <v>0</v>
      </c>
      <c r="Q517" s="372">
        <v>0</v>
      </c>
      <c r="R517" s="372">
        <v>0</v>
      </c>
      <c r="S517" s="372">
        <v>0</v>
      </c>
    </row>
    <row r="518" spans="1:19" ht="12.75">
      <c r="A518" s="369" t="s">
        <v>1240</v>
      </c>
      <c r="B518" s="369" t="s">
        <v>1906</v>
      </c>
      <c r="C518" s="369" t="s">
        <v>861</v>
      </c>
      <c r="D518" s="372">
        <v>0</v>
      </c>
      <c r="E518" s="372">
        <v>0</v>
      </c>
      <c r="F518" s="372">
        <v>0</v>
      </c>
      <c r="G518" s="372">
        <v>0</v>
      </c>
      <c r="H518" s="372">
        <v>0</v>
      </c>
      <c r="I518" s="372">
        <v>0</v>
      </c>
      <c r="J518" s="372">
        <v>0</v>
      </c>
      <c r="K518" s="372">
        <v>0</v>
      </c>
      <c r="L518" s="372">
        <v>0</v>
      </c>
      <c r="M518" s="372">
        <v>0</v>
      </c>
      <c r="N518" s="372">
        <v>0</v>
      </c>
      <c r="O518" s="372">
        <v>0</v>
      </c>
      <c r="P518" s="372">
        <v>0</v>
      </c>
      <c r="Q518" s="372">
        <v>0</v>
      </c>
      <c r="R518" s="372">
        <v>0</v>
      </c>
      <c r="S518" s="372">
        <v>0</v>
      </c>
    </row>
    <row r="519" spans="1:19" ht="12.75">
      <c r="A519" s="369" t="s">
        <v>1824</v>
      </c>
      <c r="B519" s="369" t="s">
        <v>2237</v>
      </c>
      <c r="C519" s="369" t="s">
        <v>862</v>
      </c>
      <c r="D519" s="372">
        <v>1</v>
      </c>
      <c r="E519" s="372">
        <v>0</v>
      </c>
      <c r="F519" s="372">
        <v>0</v>
      </c>
      <c r="G519" s="372">
        <v>0</v>
      </c>
      <c r="H519" s="372">
        <v>0</v>
      </c>
      <c r="I519" s="372">
        <v>0</v>
      </c>
      <c r="J519" s="372">
        <v>0</v>
      </c>
      <c r="K519" s="372">
        <v>0</v>
      </c>
      <c r="L519" s="372">
        <v>0</v>
      </c>
      <c r="M519" s="372">
        <v>0</v>
      </c>
      <c r="N519" s="372">
        <v>0</v>
      </c>
      <c r="O519" s="372">
        <v>0</v>
      </c>
      <c r="P519" s="372">
        <v>1</v>
      </c>
      <c r="Q519" s="372">
        <v>1</v>
      </c>
      <c r="R519" s="372">
        <v>1</v>
      </c>
      <c r="S519" s="372">
        <v>0</v>
      </c>
    </row>
    <row r="520" spans="1:19" ht="12.75">
      <c r="A520" s="369" t="s">
        <v>1825</v>
      </c>
      <c r="B520" s="369" t="s">
        <v>321</v>
      </c>
      <c r="C520" s="369" t="s">
        <v>863</v>
      </c>
      <c r="D520" s="372">
        <v>0</v>
      </c>
      <c r="E520" s="372">
        <v>1</v>
      </c>
      <c r="F520" s="372">
        <v>0</v>
      </c>
      <c r="G520" s="372">
        <v>1</v>
      </c>
      <c r="H520" s="372">
        <v>1</v>
      </c>
      <c r="I520" s="372">
        <v>0</v>
      </c>
      <c r="J520" s="372">
        <v>1</v>
      </c>
      <c r="K520" s="372">
        <v>1</v>
      </c>
      <c r="L520" s="372">
        <v>1</v>
      </c>
      <c r="M520" s="372">
        <v>0</v>
      </c>
      <c r="N520" s="372">
        <v>1</v>
      </c>
      <c r="O520" s="372">
        <v>1</v>
      </c>
      <c r="P520" s="372">
        <v>0</v>
      </c>
      <c r="Q520" s="372">
        <v>0</v>
      </c>
      <c r="R520" s="372">
        <v>0</v>
      </c>
      <c r="S520" s="372">
        <v>0</v>
      </c>
    </row>
    <row r="521" spans="1:19" ht="12.75">
      <c r="A521" s="369" t="s">
        <v>1856</v>
      </c>
      <c r="B521" s="369" t="s">
        <v>1990</v>
      </c>
      <c r="C521" s="369" t="s">
        <v>864</v>
      </c>
      <c r="D521" s="372">
        <v>0</v>
      </c>
      <c r="E521" s="372">
        <v>0</v>
      </c>
      <c r="F521" s="372">
        <v>0</v>
      </c>
      <c r="G521" s="372">
        <v>0</v>
      </c>
      <c r="H521" s="372">
        <v>0</v>
      </c>
      <c r="I521" s="372">
        <v>0</v>
      </c>
      <c r="J521" s="372">
        <v>0</v>
      </c>
      <c r="K521" s="372">
        <v>0</v>
      </c>
      <c r="L521" s="372">
        <v>0</v>
      </c>
      <c r="M521" s="372">
        <v>0</v>
      </c>
      <c r="N521" s="372">
        <v>0</v>
      </c>
      <c r="O521" s="372">
        <v>0</v>
      </c>
      <c r="P521" s="372">
        <v>0</v>
      </c>
      <c r="Q521" s="372">
        <v>0</v>
      </c>
      <c r="R521" s="372">
        <v>0</v>
      </c>
      <c r="S521" s="372">
        <v>0</v>
      </c>
    </row>
    <row r="522" spans="1:19" ht="12.75">
      <c r="A522" s="369" t="s">
        <v>1858</v>
      </c>
      <c r="B522" s="369" t="s">
        <v>1857</v>
      </c>
      <c r="C522" s="369" t="s">
        <v>865</v>
      </c>
      <c r="D522" s="372">
        <v>0</v>
      </c>
      <c r="E522" s="372">
        <v>0</v>
      </c>
      <c r="F522" s="372">
        <v>0</v>
      </c>
      <c r="G522" s="372">
        <v>0</v>
      </c>
      <c r="H522" s="372">
        <v>0</v>
      </c>
      <c r="I522" s="372">
        <v>0</v>
      </c>
      <c r="J522" s="372">
        <v>0</v>
      </c>
      <c r="K522" s="372">
        <v>0</v>
      </c>
      <c r="L522" s="372">
        <v>0</v>
      </c>
      <c r="M522" s="372">
        <v>0</v>
      </c>
      <c r="N522" s="372">
        <v>0</v>
      </c>
      <c r="O522" s="372">
        <v>0</v>
      </c>
      <c r="P522" s="372">
        <v>0</v>
      </c>
      <c r="Q522" s="372">
        <v>0</v>
      </c>
      <c r="R522" s="372">
        <v>0</v>
      </c>
      <c r="S522" s="372">
        <v>0</v>
      </c>
    </row>
    <row r="523" spans="1:19" ht="12.75">
      <c r="A523" s="369" t="s">
        <v>1608</v>
      </c>
      <c r="B523" s="369" t="s">
        <v>1607</v>
      </c>
      <c r="C523" s="369" t="s">
        <v>866</v>
      </c>
      <c r="D523" s="372">
        <v>0</v>
      </c>
      <c r="E523" s="372">
        <v>0</v>
      </c>
      <c r="F523" s="372">
        <v>0</v>
      </c>
      <c r="G523" s="372">
        <v>0</v>
      </c>
      <c r="H523" s="372">
        <v>0</v>
      </c>
      <c r="I523" s="372">
        <v>0</v>
      </c>
      <c r="J523" s="372">
        <v>0</v>
      </c>
      <c r="K523" s="372">
        <v>0</v>
      </c>
      <c r="L523" s="372">
        <v>0</v>
      </c>
      <c r="M523" s="372">
        <v>0</v>
      </c>
      <c r="N523" s="372">
        <v>0</v>
      </c>
      <c r="O523" s="372">
        <v>0</v>
      </c>
      <c r="P523" s="372">
        <v>0</v>
      </c>
      <c r="Q523" s="372">
        <v>0</v>
      </c>
      <c r="R523" s="372">
        <v>0</v>
      </c>
      <c r="S523" s="372">
        <v>0</v>
      </c>
    </row>
    <row r="524" spans="1:19" ht="12.75">
      <c r="A524" s="369" t="s">
        <v>382</v>
      </c>
      <c r="B524" s="369" t="s">
        <v>381</v>
      </c>
      <c r="C524" s="369" t="s">
        <v>867</v>
      </c>
      <c r="D524" s="372">
        <v>0</v>
      </c>
      <c r="E524" s="372">
        <v>0</v>
      </c>
      <c r="F524" s="372">
        <v>0</v>
      </c>
      <c r="G524" s="372">
        <v>0</v>
      </c>
      <c r="H524" s="372">
        <v>0</v>
      </c>
      <c r="I524" s="372">
        <v>0</v>
      </c>
      <c r="J524" s="372">
        <v>0</v>
      </c>
      <c r="K524" s="372">
        <v>0</v>
      </c>
      <c r="L524" s="372">
        <v>0</v>
      </c>
      <c r="M524" s="372">
        <v>0</v>
      </c>
      <c r="N524" s="372">
        <v>0</v>
      </c>
      <c r="O524" s="372">
        <v>0</v>
      </c>
      <c r="P524" s="372">
        <v>0</v>
      </c>
      <c r="Q524" s="372">
        <v>0</v>
      </c>
      <c r="R524" s="372">
        <v>0</v>
      </c>
      <c r="S524" s="372">
        <v>0</v>
      </c>
    </row>
    <row r="525" spans="1:19" ht="12.75">
      <c r="A525" s="369" t="s">
        <v>2491</v>
      </c>
      <c r="B525" s="369" t="s">
        <v>1417</v>
      </c>
      <c r="C525" s="369" t="s">
        <v>868</v>
      </c>
      <c r="D525" s="372">
        <v>1</v>
      </c>
      <c r="E525" s="372">
        <v>1</v>
      </c>
      <c r="F525" s="372">
        <v>0</v>
      </c>
      <c r="G525" s="372">
        <v>1</v>
      </c>
      <c r="H525" s="372">
        <v>0</v>
      </c>
      <c r="I525" s="372">
        <v>0</v>
      </c>
      <c r="J525" s="372">
        <v>0</v>
      </c>
      <c r="K525" s="372">
        <v>1</v>
      </c>
      <c r="L525" s="372">
        <v>1</v>
      </c>
      <c r="M525" s="372">
        <v>0</v>
      </c>
      <c r="N525" s="372">
        <v>1</v>
      </c>
      <c r="O525" s="372">
        <v>0</v>
      </c>
      <c r="P525" s="372">
        <v>0</v>
      </c>
      <c r="Q525" s="372">
        <v>0</v>
      </c>
      <c r="R525" s="372">
        <v>1</v>
      </c>
      <c r="S525" s="372">
        <v>1</v>
      </c>
    </row>
    <row r="526" spans="1:19" ht="12.75">
      <c r="A526" s="369" t="s">
        <v>2492</v>
      </c>
      <c r="B526" s="369" t="s">
        <v>1418</v>
      </c>
      <c r="C526" s="369" t="s">
        <v>869</v>
      </c>
      <c r="D526" s="372">
        <v>0</v>
      </c>
      <c r="E526" s="372">
        <v>0</v>
      </c>
      <c r="F526" s="372">
        <v>0</v>
      </c>
      <c r="G526" s="372">
        <v>1</v>
      </c>
      <c r="H526" s="372">
        <v>1</v>
      </c>
      <c r="I526" s="372">
        <v>0</v>
      </c>
      <c r="J526" s="372">
        <v>1</v>
      </c>
      <c r="K526" s="372">
        <v>0</v>
      </c>
      <c r="L526" s="372">
        <v>0</v>
      </c>
      <c r="M526" s="372">
        <v>0</v>
      </c>
      <c r="N526" s="372">
        <v>0</v>
      </c>
      <c r="O526" s="372">
        <v>0</v>
      </c>
      <c r="P526" s="372">
        <v>0</v>
      </c>
      <c r="Q526" s="372">
        <v>0</v>
      </c>
      <c r="R526" s="372">
        <v>0</v>
      </c>
      <c r="S526" s="372">
        <v>0</v>
      </c>
    </row>
    <row r="527" spans="1:19" ht="12.75">
      <c r="A527" s="369" t="s">
        <v>1602</v>
      </c>
      <c r="B527" s="369" t="s">
        <v>1859</v>
      </c>
      <c r="C527" s="369" t="s">
        <v>870</v>
      </c>
      <c r="D527" s="372">
        <v>0</v>
      </c>
      <c r="E527" s="372">
        <v>0</v>
      </c>
      <c r="F527" s="372">
        <v>0</v>
      </c>
      <c r="G527" s="372">
        <v>0</v>
      </c>
      <c r="H527" s="372">
        <v>0</v>
      </c>
      <c r="I527" s="372">
        <v>0</v>
      </c>
      <c r="J527" s="372">
        <v>0</v>
      </c>
      <c r="K527" s="372">
        <v>0</v>
      </c>
      <c r="L527" s="372">
        <v>0</v>
      </c>
      <c r="M527" s="372">
        <v>0</v>
      </c>
      <c r="N527" s="372">
        <v>0</v>
      </c>
      <c r="O527" s="372">
        <v>0</v>
      </c>
      <c r="P527" s="372">
        <v>0</v>
      </c>
      <c r="Q527" s="372">
        <v>0</v>
      </c>
      <c r="R527" s="372">
        <v>0</v>
      </c>
      <c r="S527" s="372">
        <v>0</v>
      </c>
    </row>
    <row r="528" spans="1:19" ht="12.75">
      <c r="A528" s="369" t="s">
        <v>2493</v>
      </c>
      <c r="B528" s="369" t="s">
        <v>1419</v>
      </c>
      <c r="C528" s="369" t="s">
        <v>871</v>
      </c>
      <c r="D528" s="372">
        <v>0</v>
      </c>
      <c r="E528" s="372">
        <v>0</v>
      </c>
      <c r="F528" s="372">
        <v>0</v>
      </c>
      <c r="G528" s="372">
        <v>0</v>
      </c>
      <c r="H528" s="372">
        <v>0</v>
      </c>
      <c r="I528" s="372">
        <v>0</v>
      </c>
      <c r="J528" s="372">
        <v>0</v>
      </c>
      <c r="K528" s="372">
        <v>0</v>
      </c>
      <c r="L528" s="372">
        <v>0</v>
      </c>
      <c r="M528" s="372">
        <v>0</v>
      </c>
      <c r="N528" s="372">
        <v>0</v>
      </c>
      <c r="O528" s="372">
        <v>0</v>
      </c>
      <c r="P528" s="372">
        <v>0</v>
      </c>
      <c r="Q528" s="372">
        <v>0</v>
      </c>
      <c r="R528" s="372">
        <v>0</v>
      </c>
      <c r="S528" s="372">
        <v>0</v>
      </c>
    </row>
    <row r="529" spans="1:19" ht="12.75">
      <c r="A529" s="369" t="s">
        <v>1604</v>
      </c>
      <c r="B529" s="369" t="s">
        <v>1603</v>
      </c>
      <c r="C529" s="369" t="s">
        <v>872</v>
      </c>
      <c r="D529" s="372">
        <v>0</v>
      </c>
      <c r="E529" s="372">
        <v>0</v>
      </c>
      <c r="F529" s="372">
        <v>0</v>
      </c>
      <c r="G529" s="372">
        <v>0</v>
      </c>
      <c r="H529" s="372">
        <v>0</v>
      </c>
      <c r="I529" s="372">
        <v>0</v>
      </c>
      <c r="J529" s="372">
        <v>0</v>
      </c>
      <c r="K529" s="372">
        <v>0</v>
      </c>
      <c r="L529" s="372">
        <v>0</v>
      </c>
      <c r="M529" s="372">
        <v>0</v>
      </c>
      <c r="N529" s="372">
        <v>0</v>
      </c>
      <c r="O529" s="372">
        <v>0</v>
      </c>
      <c r="P529" s="372">
        <v>0</v>
      </c>
      <c r="Q529" s="372">
        <v>0</v>
      </c>
      <c r="R529" s="372">
        <v>0</v>
      </c>
      <c r="S529" s="372">
        <v>0</v>
      </c>
    </row>
    <row r="530" spans="1:19" ht="12.75">
      <c r="A530" s="369" t="s">
        <v>1606</v>
      </c>
      <c r="B530" s="369" t="s">
        <v>1605</v>
      </c>
      <c r="C530" s="369" t="s">
        <v>873</v>
      </c>
      <c r="D530" s="372">
        <v>0</v>
      </c>
      <c r="E530" s="372">
        <v>0</v>
      </c>
      <c r="F530" s="372">
        <v>0</v>
      </c>
      <c r="G530" s="372">
        <v>0</v>
      </c>
      <c r="H530" s="372">
        <v>0</v>
      </c>
      <c r="I530" s="372">
        <v>0</v>
      </c>
      <c r="J530" s="372">
        <v>0</v>
      </c>
      <c r="K530" s="372">
        <v>0</v>
      </c>
      <c r="L530" s="372">
        <v>0</v>
      </c>
      <c r="M530" s="372">
        <v>0</v>
      </c>
      <c r="N530" s="372">
        <v>0</v>
      </c>
      <c r="O530" s="372">
        <v>0</v>
      </c>
      <c r="P530" s="372">
        <v>0</v>
      </c>
      <c r="Q530" s="372">
        <v>0</v>
      </c>
      <c r="R530" s="372">
        <v>0</v>
      </c>
      <c r="S530" s="372">
        <v>0</v>
      </c>
    </row>
    <row r="531" spans="1:19" ht="12.75">
      <c r="A531" s="369" t="s">
        <v>2494</v>
      </c>
      <c r="B531" s="369" t="s">
        <v>1420</v>
      </c>
      <c r="C531" s="369" t="s">
        <v>874</v>
      </c>
      <c r="D531" s="372">
        <v>0</v>
      </c>
      <c r="E531" s="372">
        <v>0</v>
      </c>
      <c r="F531" s="372">
        <v>0</v>
      </c>
      <c r="G531" s="372">
        <v>0</v>
      </c>
      <c r="H531" s="372">
        <v>0</v>
      </c>
      <c r="I531" s="372">
        <v>1</v>
      </c>
      <c r="J531" s="372">
        <v>1</v>
      </c>
      <c r="K531" s="372">
        <v>0</v>
      </c>
      <c r="L531" s="372">
        <v>0</v>
      </c>
      <c r="M531" s="372">
        <v>0</v>
      </c>
      <c r="N531" s="372">
        <v>0</v>
      </c>
      <c r="O531" s="372">
        <v>0</v>
      </c>
      <c r="P531" s="372">
        <v>0</v>
      </c>
      <c r="Q531" s="372">
        <v>0</v>
      </c>
      <c r="R531" s="372">
        <v>0</v>
      </c>
      <c r="S531" s="372">
        <v>0</v>
      </c>
    </row>
    <row r="532" spans="1:19" ht="12.75">
      <c r="A532" s="369" t="s">
        <v>2495</v>
      </c>
      <c r="B532" s="369" t="s">
        <v>1421</v>
      </c>
      <c r="C532" s="369" t="s">
        <v>875</v>
      </c>
      <c r="D532" s="372">
        <v>0</v>
      </c>
      <c r="E532" s="372">
        <v>1</v>
      </c>
      <c r="F532" s="372">
        <v>0</v>
      </c>
      <c r="G532" s="372">
        <v>0</v>
      </c>
      <c r="H532" s="372">
        <v>0</v>
      </c>
      <c r="I532" s="372">
        <v>0</v>
      </c>
      <c r="J532" s="372">
        <v>0</v>
      </c>
      <c r="K532" s="372">
        <v>0</v>
      </c>
      <c r="L532" s="372">
        <v>0</v>
      </c>
      <c r="M532" s="372">
        <v>0</v>
      </c>
      <c r="N532" s="372">
        <v>0</v>
      </c>
      <c r="O532" s="372">
        <v>0</v>
      </c>
      <c r="P532" s="372">
        <v>0</v>
      </c>
      <c r="Q532" s="372">
        <v>0</v>
      </c>
      <c r="R532" s="372">
        <v>1</v>
      </c>
      <c r="S532" s="372">
        <v>0</v>
      </c>
    </row>
    <row r="533" spans="1:19" ht="12.75">
      <c r="A533" s="369" t="s">
        <v>2496</v>
      </c>
      <c r="B533" s="369" t="s">
        <v>1977</v>
      </c>
      <c r="C533" s="369" t="s">
        <v>876</v>
      </c>
      <c r="D533" s="372">
        <v>0</v>
      </c>
      <c r="E533" s="372">
        <v>0</v>
      </c>
      <c r="F533" s="372">
        <v>0</v>
      </c>
      <c r="G533" s="372">
        <v>1</v>
      </c>
      <c r="H533" s="372">
        <v>1</v>
      </c>
      <c r="I533" s="372">
        <v>1</v>
      </c>
      <c r="J533" s="372">
        <v>1</v>
      </c>
      <c r="K533" s="372">
        <v>0</v>
      </c>
      <c r="L533" s="372">
        <v>0</v>
      </c>
      <c r="M533" s="372">
        <v>1</v>
      </c>
      <c r="N533" s="372">
        <v>0</v>
      </c>
      <c r="O533" s="372">
        <v>1</v>
      </c>
      <c r="P533" s="372">
        <v>1</v>
      </c>
      <c r="Q533" s="372">
        <v>1</v>
      </c>
      <c r="R533" s="372">
        <v>0</v>
      </c>
      <c r="S533" s="372">
        <v>0</v>
      </c>
    </row>
    <row r="534" spans="1:19" ht="12.75">
      <c r="A534" s="369" t="s">
        <v>1530</v>
      </c>
      <c r="B534" s="369" t="s">
        <v>1609</v>
      </c>
      <c r="C534" s="369" t="s">
        <v>877</v>
      </c>
      <c r="D534" s="372">
        <v>0</v>
      </c>
      <c r="E534" s="372">
        <v>0</v>
      </c>
      <c r="F534" s="372">
        <v>0</v>
      </c>
      <c r="G534" s="372">
        <v>0</v>
      </c>
      <c r="H534" s="372">
        <v>0</v>
      </c>
      <c r="I534" s="372">
        <v>0</v>
      </c>
      <c r="J534" s="372">
        <v>0</v>
      </c>
      <c r="K534" s="372">
        <v>0</v>
      </c>
      <c r="L534" s="372">
        <v>0</v>
      </c>
      <c r="M534" s="372">
        <v>0</v>
      </c>
      <c r="N534" s="372">
        <v>0</v>
      </c>
      <c r="O534" s="372">
        <v>0</v>
      </c>
      <c r="P534" s="372">
        <v>0</v>
      </c>
      <c r="Q534" s="372">
        <v>0</v>
      </c>
      <c r="R534" s="372">
        <v>0</v>
      </c>
      <c r="S534" s="372">
        <v>0</v>
      </c>
    </row>
    <row r="535" spans="1:19" ht="12.75">
      <c r="A535" s="369" t="s">
        <v>154</v>
      </c>
      <c r="B535" s="369" t="s">
        <v>1422</v>
      </c>
      <c r="C535" s="369" t="s">
        <v>878</v>
      </c>
      <c r="D535" s="372">
        <v>1</v>
      </c>
      <c r="E535" s="372">
        <v>1</v>
      </c>
      <c r="F535" s="372">
        <v>1</v>
      </c>
      <c r="G535" s="372">
        <v>1</v>
      </c>
      <c r="H535" s="372">
        <v>1</v>
      </c>
      <c r="I535" s="372">
        <v>1</v>
      </c>
      <c r="J535" s="372">
        <v>1</v>
      </c>
      <c r="K535" s="372">
        <v>1</v>
      </c>
      <c r="L535" s="372">
        <v>0</v>
      </c>
      <c r="M535" s="372">
        <v>1</v>
      </c>
      <c r="N535" s="372">
        <v>0</v>
      </c>
      <c r="O535" s="372">
        <v>1</v>
      </c>
      <c r="P535" s="372">
        <v>0</v>
      </c>
      <c r="Q535" s="372">
        <v>1</v>
      </c>
      <c r="R535" s="372">
        <v>0</v>
      </c>
      <c r="S535" s="372">
        <v>1</v>
      </c>
    </row>
    <row r="536" spans="1:19" ht="12.75">
      <c r="A536" s="369" t="s">
        <v>155</v>
      </c>
      <c r="B536" s="369" t="s">
        <v>1629</v>
      </c>
      <c r="C536" s="369" t="s">
        <v>879</v>
      </c>
      <c r="D536" s="372">
        <v>0</v>
      </c>
      <c r="E536" s="372">
        <v>0</v>
      </c>
      <c r="F536" s="372">
        <v>0</v>
      </c>
      <c r="G536" s="372">
        <v>0</v>
      </c>
      <c r="H536" s="372">
        <v>0</v>
      </c>
      <c r="I536" s="372">
        <v>0</v>
      </c>
      <c r="J536" s="372">
        <v>0</v>
      </c>
      <c r="K536" s="372">
        <v>0</v>
      </c>
      <c r="L536" s="372">
        <v>0</v>
      </c>
      <c r="M536" s="372">
        <v>0</v>
      </c>
      <c r="N536" s="372">
        <v>0</v>
      </c>
      <c r="O536" s="372">
        <v>0</v>
      </c>
      <c r="P536" s="372">
        <v>0</v>
      </c>
      <c r="Q536" s="372">
        <v>0</v>
      </c>
      <c r="R536" s="372">
        <v>0</v>
      </c>
      <c r="S536" s="372">
        <v>0</v>
      </c>
    </row>
    <row r="537" spans="1:19" ht="12.75">
      <c r="A537" s="369" t="s">
        <v>1309</v>
      </c>
      <c r="B537" s="369" t="s">
        <v>1531</v>
      </c>
      <c r="C537" s="369" t="s">
        <v>880</v>
      </c>
      <c r="D537" s="372">
        <v>0</v>
      </c>
      <c r="E537" s="372">
        <v>0</v>
      </c>
      <c r="F537" s="372">
        <v>0</v>
      </c>
      <c r="G537" s="372">
        <v>0</v>
      </c>
      <c r="H537" s="372">
        <v>0</v>
      </c>
      <c r="I537" s="372">
        <v>0</v>
      </c>
      <c r="J537" s="372">
        <v>0</v>
      </c>
      <c r="K537" s="372">
        <v>0</v>
      </c>
      <c r="L537" s="372">
        <v>0</v>
      </c>
      <c r="M537" s="372">
        <v>0</v>
      </c>
      <c r="N537" s="372">
        <v>0</v>
      </c>
      <c r="O537" s="372">
        <v>0</v>
      </c>
      <c r="P537" s="372">
        <v>0</v>
      </c>
      <c r="Q537" s="372">
        <v>0</v>
      </c>
      <c r="R537" s="372">
        <v>0</v>
      </c>
      <c r="S537" s="372">
        <v>0</v>
      </c>
    </row>
    <row r="538" spans="1:19" ht="12.75">
      <c r="A538" s="369" t="s">
        <v>156</v>
      </c>
      <c r="B538" s="369" t="s">
        <v>1423</v>
      </c>
      <c r="C538" s="369" t="s">
        <v>881</v>
      </c>
      <c r="D538" s="372">
        <v>0</v>
      </c>
      <c r="E538" s="372">
        <v>0</v>
      </c>
      <c r="F538" s="372">
        <v>0</v>
      </c>
      <c r="G538" s="372">
        <v>0</v>
      </c>
      <c r="H538" s="372">
        <v>0</v>
      </c>
      <c r="I538" s="372">
        <v>0</v>
      </c>
      <c r="J538" s="372">
        <v>0</v>
      </c>
      <c r="K538" s="372">
        <v>1</v>
      </c>
      <c r="L538" s="372">
        <v>1</v>
      </c>
      <c r="M538" s="372">
        <v>0</v>
      </c>
      <c r="N538" s="372">
        <v>1</v>
      </c>
      <c r="O538" s="372">
        <v>0</v>
      </c>
      <c r="P538" s="372">
        <v>0</v>
      </c>
      <c r="Q538" s="372">
        <v>0</v>
      </c>
      <c r="R538" s="372">
        <v>0</v>
      </c>
      <c r="S538" s="372">
        <v>0</v>
      </c>
    </row>
    <row r="539" spans="1:19" ht="12.75">
      <c r="A539" s="369" t="s">
        <v>157</v>
      </c>
      <c r="B539" s="369" t="s">
        <v>268</v>
      </c>
      <c r="C539" s="369" t="s">
        <v>882</v>
      </c>
      <c r="D539" s="372">
        <v>0</v>
      </c>
      <c r="E539" s="372">
        <v>0</v>
      </c>
      <c r="F539" s="372">
        <v>0</v>
      </c>
      <c r="G539" s="372">
        <v>0</v>
      </c>
      <c r="H539" s="372">
        <v>0</v>
      </c>
      <c r="I539" s="372">
        <v>0</v>
      </c>
      <c r="J539" s="372">
        <v>0</v>
      </c>
      <c r="K539" s="372">
        <v>0</v>
      </c>
      <c r="L539" s="372">
        <v>0</v>
      </c>
      <c r="M539" s="372">
        <v>0</v>
      </c>
      <c r="N539" s="372">
        <v>0</v>
      </c>
      <c r="O539" s="372">
        <v>0</v>
      </c>
      <c r="P539" s="372">
        <v>0</v>
      </c>
      <c r="Q539" s="372">
        <v>0</v>
      </c>
      <c r="R539" s="372">
        <v>0</v>
      </c>
      <c r="S539" s="372">
        <v>0</v>
      </c>
    </row>
    <row r="540" spans="1:19" ht="12.75">
      <c r="A540" s="369" t="s">
        <v>1802</v>
      </c>
      <c r="B540" s="369" t="s">
        <v>1310</v>
      </c>
      <c r="C540" s="369" t="s">
        <v>883</v>
      </c>
      <c r="D540" s="372">
        <v>0</v>
      </c>
      <c r="E540" s="372">
        <v>0</v>
      </c>
      <c r="F540" s="372">
        <v>0</v>
      </c>
      <c r="G540" s="372">
        <v>0</v>
      </c>
      <c r="H540" s="372">
        <v>0</v>
      </c>
      <c r="I540" s="372">
        <v>0</v>
      </c>
      <c r="J540" s="372">
        <v>0</v>
      </c>
      <c r="K540" s="372">
        <v>0</v>
      </c>
      <c r="L540" s="372">
        <v>0</v>
      </c>
      <c r="M540" s="372">
        <v>0</v>
      </c>
      <c r="N540" s="372">
        <v>0</v>
      </c>
      <c r="O540" s="372">
        <v>0</v>
      </c>
      <c r="P540" s="372">
        <v>0</v>
      </c>
      <c r="Q540" s="372">
        <v>0</v>
      </c>
      <c r="R540" s="372">
        <v>0</v>
      </c>
      <c r="S540" s="372">
        <v>0</v>
      </c>
    </row>
    <row r="541" spans="1:19" ht="12.75">
      <c r="A541" s="369" t="s">
        <v>1345</v>
      </c>
      <c r="B541" s="369" t="s">
        <v>1437</v>
      </c>
      <c r="C541" s="369" t="s">
        <v>884</v>
      </c>
      <c r="D541" s="372">
        <v>0</v>
      </c>
      <c r="E541" s="372">
        <v>0</v>
      </c>
      <c r="F541" s="372">
        <v>0</v>
      </c>
      <c r="G541" s="372">
        <v>0</v>
      </c>
      <c r="H541" s="372">
        <v>0</v>
      </c>
      <c r="I541" s="372">
        <v>0</v>
      </c>
      <c r="J541" s="372">
        <v>0</v>
      </c>
      <c r="K541" s="372">
        <v>0</v>
      </c>
      <c r="L541" s="372">
        <v>0</v>
      </c>
      <c r="M541" s="372">
        <v>0</v>
      </c>
      <c r="N541" s="372">
        <v>0</v>
      </c>
      <c r="O541" s="372">
        <v>0</v>
      </c>
      <c r="P541" s="372">
        <v>0</v>
      </c>
      <c r="Q541" s="372">
        <v>0</v>
      </c>
      <c r="R541" s="372">
        <v>0</v>
      </c>
      <c r="S541" s="372">
        <v>0</v>
      </c>
    </row>
    <row r="542" spans="1:19" ht="12.75">
      <c r="A542" s="369" t="s">
        <v>158</v>
      </c>
      <c r="B542" s="369" t="s">
        <v>2218</v>
      </c>
      <c r="C542" s="369" t="s">
        <v>885</v>
      </c>
      <c r="D542" s="372">
        <v>1</v>
      </c>
      <c r="E542" s="372">
        <v>0</v>
      </c>
      <c r="F542" s="372">
        <v>0</v>
      </c>
      <c r="G542" s="372">
        <v>0</v>
      </c>
      <c r="H542" s="372">
        <v>0</v>
      </c>
      <c r="I542" s="372">
        <v>1</v>
      </c>
      <c r="J542" s="372">
        <v>1</v>
      </c>
      <c r="K542" s="372">
        <v>1</v>
      </c>
      <c r="L542" s="372">
        <v>1</v>
      </c>
      <c r="M542" s="372">
        <v>0</v>
      </c>
      <c r="N542" s="372">
        <v>1</v>
      </c>
      <c r="O542" s="372">
        <v>0</v>
      </c>
      <c r="P542" s="372">
        <v>1</v>
      </c>
      <c r="Q542" s="372">
        <v>0</v>
      </c>
      <c r="R542" s="372">
        <v>0</v>
      </c>
      <c r="S542" s="372">
        <v>0</v>
      </c>
    </row>
    <row r="543" spans="1:19" ht="12.75">
      <c r="A543" s="369" t="s">
        <v>1347</v>
      </c>
      <c r="B543" s="369" t="s">
        <v>1346</v>
      </c>
      <c r="C543" s="369" t="s">
        <v>886</v>
      </c>
      <c r="D543" s="372">
        <v>0</v>
      </c>
      <c r="E543" s="372">
        <v>0</v>
      </c>
      <c r="F543" s="372">
        <v>0</v>
      </c>
      <c r="G543" s="372">
        <v>0</v>
      </c>
      <c r="H543" s="372">
        <v>0</v>
      </c>
      <c r="I543" s="372">
        <v>0</v>
      </c>
      <c r="J543" s="372">
        <v>0</v>
      </c>
      <c r="K543" s="372">
        <v>0</v>
      </c>
      <c r="L543" s="372">
        <v>0</v>
      </c>
      <c r="M543" s="372">
        <v>0</v>
      </c>
      <c r="N543" s="372">
        <v>0</v>
      </c>
      <c r="O543" s="372">
        <v>0</v>
      </c>
      <c r="P543" s="372">
        <v>0</v>
      </c>
      <c r="Q543" s="372">
        <v>0</v>
      </c>
      <c r="R543" s="372">
        <v>0</v>
      </c>
      <c r="S543" s="372">
        <v>0</v>
      </c>
    </row>
    <row r="544" spans="1:19" ht="12.75">
      <c r="A544" s="369" t="s">
        <v>2017</v>
      </c>
      <c r="B544" s="369" t="s">
        <v>2018</v>
      </c>
      <c r="C544" s="369"/>
      <c r="D544" s="372">
        <v>0</v>
      </c>
      <c r="E544" s="372">
        <v>0</v>
      </c>
      <c r="F544" s="372">
        <v>0</v>
      </c>
      <c r="G544" s="372">
        <v>0</v>
      </c>
      <c r="H544" s="372">
        <v>0</v>
      </c>
      <c r="I544" s="372">
        <v>0</v>
      </c>
      <c r="J544" s="372">
        <v>0</v>
      </c>
      <c r="K544" s="372">
        <v>0</v>
      </c>
      <c r="L544" s="372">
        <v>0</v>
      </c>
      <c r="M544" s="372">
        <v>0</v>
      </c>
      <c r="N544" s="372">
        <v>0</v>
      </c>
      <c r="O544" s="372">
        <v>0</v>
      </c>
      <c r="P544" s="372">
        <v>0</v>
      </c>
      <c r="Q544" s="372">
        <v>0</v>
      </c>
      <c r="R544" s="372">
        <v>0</v>
      </c>
      <c r="S544" s="372">
        <v>0</v>
      </c>
    </row>
    <row r="545" spans="1:19" ht="12.75">
      <c r="A545" s="369" t="s">
        <v>1349</v>
      </c>
      <c r="B545" s="369" t="s">
        <v>1348</v>
      </c>
      <c r="C545" s="369" t="s">
        <v>887</v>
      </c>
      <c r="D545" s="372">
        <v>0</v>
      </c>
      <c r="E545" s="372">
        <v>0</v>
      </c>
      <c r="F545" s="372">
        <v>0</v>
      </c>
      <c r="G545" s="372">
        <v>0</v>
      </c>
      <c r="H545" s="372">
        <v>0</v>
      </c>
      <c r="I545" s="372">
        <v>0</v>
      </c>
      <c r="J545" s="372">
        <v>0</v>
      </c>
      <c r="K545" s="372">
        <v>0</v>
      </c>
      <c r="L545" s="372">
        <v>0</v>
      </c>
      <c r="M545" s="372">
        <v>0</v>
      </c>
      <c r="N545" s="372">
        <v>0</v>
      </c>
      <c r="O545" s="372">
        <v>0</v>
      </c>
      <c r="P545" s="372">
        <v>0</v>
      </c>
      <c r="Q545" s="372">
        <v>0</v>
      </c>
      <c r="R545" s="372">
        <v>0</v>
      </c>
      <c r="S545" s="372">
        <v>0</v>
      </c>
    </row>
    <row r="546" spans="1:19" ht="12.75">
      <c r="A546" s="369" t="s">
        <v>1351</v>
      </c>
      <c r="B546" s="369" t="s">
        <v>1350</v>
      </c>
      <c r="C546" s="369" t="s">
        <v>888</v>
      </c>
      <c r="D546" s="372">
        <v>0</v>
      </c>
      <c r="E546" s="372">
        <v>0</v>
      </c>
      <c r="F546" s="372">
        <v>0</v>
      </c>
      <c r="G546" s="372">
        <v>0</v>
      </c>
      <c r="H546" s="372">
        <v>0</v>
      </c>
      <c r="I546" s="372">
        <v>0</v>
      </c>
      <c r="J546" s="372">
        <v>0</v>
      </c>
      <c r="K546" s="372">
        <v>0</v>
      </c>
      <c r="L546" s="372">
        <v>0</v>
      </c>
      <c r="M546" s="372">
        <v>0</v>
      </c>
      <c r="N546" s="372">
        <v>0</v>
      </c>
      <c r="O546" s="372">
        <v>0</v>
      </c>
      <c r="P546" s="372">
        <v>0</v>
      </c>
      <c r="Q546" s="372">
        <v>0</v>
      </c>
      <c r="R546" s="372">
        <v>0</v>
      </c>
      <c r="S546" s="372">
        <v>0</v>
      </c>
    </row>
    <row r="547" spans="1:19" ht="12.75">
      <c r="A547" s="369" t="s">
        <v>1425</v>
      </c>
      <c r="B547" s="369" t="s">
        <v>1426</v>
      </c>
      <c r="C547" s="369"/>
      <c r="D547" s="372">
        <v>0</v>
      </c>
      <c r="E547" s="372">
        <v>0</v>
      </c>
      <c r="F547" s="372">
        <v>0</v>
      </c>
      <c r="G547" s="372">
        <v>0</v>
      </c>
      <c r="H547" s="372">
        <v>0</v>
      </c>
      <c r="I547" s="372">
        <v>0</v>
      </c>
      <c r="J547" s="372">
        <v>0</v>
      </c>
      <c r="K547" s="372">
        <v>0</v>
      </c>
      <c r="L547" s="372">
        <v>0</v>
      </c>
      <c r="M547" s="372">
        <v>0</v>
      </c>
      <c r="N547" s="372">
        <v>0</v>
      </c>
      <c r="O547" s="372">
        <v>0</v>
      </c>
      <c r="P547" s="372">
        <v>0</v>
      </c>
      <c r="Q547" s="372">
        <v>0</v>
      </c>
      <c r="R547" s="372">
        <v>0</v>
      </c>
      <c r="S547" s="372">
        <v>0</v>
      </c>
    </row>
    <row r="548" spans="1:19" ht="12.75">
      <c r="A548" s="369" t="s">
        <v>2431</v>
      </c>
      <c r="B548" s="369" t="s">
        <v>1352</v>
      </c>
      <c r="C548" s="369" t="s">
        <v>889</v>
      </c>
      <c r="D548" s="372">
        <v>0</v>
      </c>
      <c r="E548" s="372">
        <v>0</v>
      </c>
      <c r="F548" s="372">
        <v>0</v>
      </c>
      <c r="G548" s="372">
        <v>0</v>
      </c>
      <c r="H548" s="372">
        <v>0</v>
      </c>
      <c r="I548" s="372">
        <v>0</v>
      </c>
      <c r="J548" s="372">
        <v>0</v>
      </c>
      <c r="K548" s="372">
        <v>0</v>
      </c>
      <c r="L548" s="372">
        <v>0</v>
      </c>
      <c r="M548" s="372">
        <v>0</v>
      </c>
      <c r="N548" s="372">
        <v>0</v>
      </c>
      <c r="O548" s="372">
        <v>0</v>
      </c>
      <c r="P548" s="372">
        <v>0</v>
      </c>
      <c r="Q548" s="372">
        <v>0</v>
      </c>
      <c r="R548" s="372">
        <v>0</v>
      </c>
      <c r="S548" s="372">
        <v>0</v>
      </c>
    </row>
    <row r="549" spans="1:19" ht="12.75">
      <c r="A549" s="369" t="s">
        <v>1427</v>
      </c>
      <c r="B549" s="369" t="s">
        <v>1428</v>
      </c>
      <c r="C549" s="369"/>
      <c r="D549" s="372">
        <v>0</v>
      </c>
      <c r="E549" s="372">
        <v>0</v>
      </c>
      <c r="F549" s="372">
        <v>0</v>
      </c>
      <c r="G549" s="372">
        <v>0</v>
      </c>
      <c r="H549" s="372">
        <v>0</v>
      </c>
      <c r="I549" s="372">
        <v>0</v>
      </c>
      <c r="J549" s="372">
        <v>0</v>
      </c>
      <c r="K549" s="372">
        <v>0</v>
      </c>
      <c r="L549" s="372">
        <v>0</v>
      </c>
      <c r="M549" s="372">
        <v>0</v>
      </c>
      <c r="N549" s="372">
        <v>0</v>
      </c>
      <c r="O549" s="372">
        <v>0</v>
      </c>
      <c r="P549" s="372">
        <v>0</v>
      </c>
      <c r="Q549" s="372">
        <v>0</v>
      </c>
      <c r="R549" s="372">
        <v>0</v>
      </c>
      <c r="S549" s="372">
        <v>0</v>
      </c>
    </row>
    <row r="550" spans="1:19" ht="12.75">
      <c r="A550" s="369" t="s">
        <v>2475</v>
      </c>
      <c r="B550" s="369" t="s">
        <v>2432</v>
      </c>
      <c r="C550" s="369" t="s">
        <v>890</v>
      </c>
      <c r="D550" s="372">
        <v>0</v>
      </c>
      <c r="E550" s="372">
        <v>0</v>
      </c>
      <c r="F550" s="372">
        <v>0</v>
      </c>
      <c r="G550" s="372">
        <v>0</v>
      </c>
      <c r="H550" s="372">
        <v>0</v>
      </c>
      <c r="I550" s="372">
        <v>0</v>
      </c>
      <c r="J550" s="372">
        <v>0</v>
      </c>
      <c r="K550" s="372">
        <v>0</v>
      </c>
      <c r="L550" s="372">
        <v>0</v>
      </c>
      <c r="M550" s="372">
        <v>0</v>
      </c>
      <c r="N550" s="372">
        <v>0</v>
      </c>
      <c r="O550" s="372">
        <v>0</v>
      </c>
      <c r="P550" s="372">
        <v>0</v>
      </c>
      <c r="Q550" s="372">
        <v>0</v>
      </c>
      <c r="R550" s="372">
        <v>0</v>
      </c>
      <c r="S550" s="372">
        <v>0</v>
      </c>
    </row>
    <row r="551" spans="1:19" ht="12.75">
      <c r="A551" s="369" t="s">
        <v>2002</v>
      </c>
      <c r="B551" s="369" t="s">
        <v>2078</v>
      </c>
      <c r="C551" s="369" t="s">
        <v>891</v>
      </c>
      <c r="D551" s="372">
        <v>0</v>
      </c>
      <c r="E551" s="372">
        <v>0</v>
      </c>
      <c r="F551" s="372">
        <v>0</v>
      </c>
      <c r="G551" s="372">
        <v>0</v>
      </c>
      <c r="H551" s="372">
        <v>0</v>
      </c>
      <c r="I551" s="372">
        <v>0</v>
      </c>
      <c r="J551" s="372">
        <v>0</v>
      </c>
      <c r="K551" s="372">
        <v>0</v>
      </c>
      <c r="L551" s="372">
        <v>0</v>
      </c>
      <c r="M551" s="372">
        <v>0</v>
      </c>
      <c r="N551" s="372">
        <v>0</v>
      </c>
      <c r="O551" s="372">
        <v>0</v>
      </c>
      <c r="P551" s="372">
        <v>0</v>
      </c>
      <c r="Q551" s="372">
        <v>0</v>
      </c>
      <c r="R551" s="372">
        <v>0</v>
      </c>
      <c r="S551" s="372">
        <v>0</v>
      </c>
    </row>
    <row r="552" spans="1:19" ht="12.75">
      <c r="A552" s="369" t="s">
        <v>159</v>
      </c>
      <c r="B552" s="369" t="s">
        <v>2344</v>
      </c>
      <c r="C552" s="369" t="s">
        <v>892</v>
      </c>
      <c r="D552" s="372">
        <v>0</v>
      </c>
      <c r="E552" s="372">
        <v>0</v>
      </c>
      <c r="F552" s="372">
        <v>0</v>
      </c>
      <c r="G552" s="372">
        <v>0</v>
      </c>
      <c r="H552" s="372">
        <v>0</v>
      </c>
      <c r="I552" s="372">
        <v>0</v>
      </c>
      <c r="J552" s="372">
        <v>0</v>
      </c>
      <c r="K552" s="372">
        <v>0</v>
      </c>
      <c r="L552" s="372">
        <v>0</v>
      </c>
      <c r="M552" s="372">
        <v>0</v>
      </c>
      <c r="N552" s="372">
        <v>0</v>
      </c>
      <c r="O552" s="372">
        <v>0</v>
      </c>
      <c r="P552" s="372">
        <v>0</v>
      </c>
      <c r="Q552" s="372">
        <v>0</v>
      </c>
      <c r="R552" s="372">
        <v>0</v>
      </c>
      <c r="S552" s="372">
        <v>0</v>
      </c>
    </row>
    <row r="553" spans="1:19" ht="12.75">
      <c r="A553" s="369" t="s">
        <v>2477</v>
      </c>
      <c r="B553" s="369" t="s">
        <v>2476</v>
      </c>
      <c r="C553" s="369" t="s">
        <v>893</v>
      </c>
      <c r="D553" s="372">
        <v>0</v>
      </c>
      <c r="E553" s="372">
        <v>0</v>
      </c>
      <c r="F553" s="372">
        <v>0</v>
      </c>
      <c r="G553" s="372">
        <v>0</v>
      </c>
      <c r="H553" s="372">
        <v>0</v>
      </c>
      <c r="I553" s="372">
        <v>0</v>
      </c>
      <c r="J553" s="372">
        <v>0</v>
      </c>
      <c r="K553" s="372">
        <v>0</v>
      </c>
      <c r="L553" s="372">
        <v>0</v>
      </c>
      <c r="M553" s="372">
        <v>0</v>
      </c>
      <c r="N553" s="372">
        <v>0</v>
      </c>
      <c r="O553" s="372">
        <v>0</v>
      </c>
      <c r="P553" s="372">
        <v>0</v>
      </c>
      <c r="Q553" s="372">
        <v>0</v>
      </c>
      <c r="R553" s="372">
        <v>0</v>
      </c>
      <c r="S553" s="372">
        <v>0</v>
      </c>
    </row>
    <row r="554" spans="1:19" ht="12.75">
      <c r="A554" s="369" t="s">
        <v>170</v>
      </c>
      <c r="B554" s="369" t="s">
        <v>169</v>
      </c>
      <c r="C554" s="369"/>
      <c r="D554" s="372">
        <v>0</v>
      </c>
      <c r="E554" s="372">
        <v>0</v>
      </c>
      <c r="F554" s="372">
        <v>0</v>
      </c>
      <c r="G554" s="372">
        <v>0</v>
      </c>
      <c r="H554" s="372">
        <v>0</v>
      </c>
      <c r="I554" s="372">
        <v>0</v>
      </c>
      <c r="J554" s="372">
        <v>0</v>
      </c>
      <c r="K554" s="372">
        <v>0</v>
      </c>
      <c r="L554" s="372">
        <v>0</v>
      </c>
      <c r="M554" s="372">
        <v>0</v>
      </c>
      <c r="N554" s="372">
        <v>0</v>
      </c>
      <c r="O554" s="372">
        <v>0</v>
      </c>
      <c r="P554" s="372">
        <v>0</v>
      </c>
      <c r="Q554" s="372">
        <v>0</v>
      </c>
      <c r="R554" s="372">
        <v>0</v>
      </c>
      <c r="S554" s="372">
        <v>0</v>
      </c>
    </row>
    <row r="555" spans="1:19" ht="12.75">
      <c r="A555" s="369" t="s">
        <v>160</v>
      </c>
      <c r="B555" s="369" t="s">
        <v>2219</v>
      </c>
      <c r="C555" s="369" t="s">
        <v>894</v>
      </c>
      <c r="D555" s="372">
        <v>0</v>
      </c>
      <c r="E555" s="372">
        <v>0</v>
      </c>
      <c r="F555" s="372">
        <v>0</v>
      </c>
      <c r="G555" s="372">
        <v>0</v>
      </c>
      <c r="H555" s="372">
        <v>0</v>
      </c>
      <c r="I555" s="372">
        <v>0</v>
      </c>
      <c r="J555" s="372">
        <v>0</v>
      </c>
      <c r="K555" s="372">
        <v>0</v>
      </c>
      <c r="L555" s="372">
        <v>0</v>
      </c>
      <c r="M555" s="372">
        <v>0</v>
      </c>
      <c r="N555" s="372">
        <v>0</v>
      </c>
      <c r="O555" s="372">
        <v>0</v>
      </c>
      <c r="P555" s="372">
        <v>0</v>
      </c>
      <c r="Q555" s="372">
        <v>0</v>
      </c>
      <c r="R555" s="372">
        <v>0</v>
      </c>
      <c r="S555" s="372">
        <v>0</v>
      </c>
    </row>
    <row r="556" spans="1:19" ht="12.75">
      <c r="A556" s="369" t="s">
        <v>161</v>
      </c>
      <c r="B556" s="369" t="s">
        <v>1553</v>
      </c>
      <c r="C556" s="369" t="s">
        <v>895</v>
      </c>
      <c r="D556" s="372">
        <v>0</v>
      </c>
      <c r="E556" s="372">
        <v>0</v>
      </c>
      <c r="F556" s="372">
        <v>0</v>
      </c>
      <c r="G556" s="372">
        <v>0</v>
      </c>
      <c r="H556" s="372">
        <v>0</v>
      </c>
      <c r="I556" s="372">
        <v>0</v>
      </c>
      <c r="J556" s="372">
        <v>0</v>
      </c>
      <c r="K556" s="372">
        <v>0</v>
      </c>
      <c r="L556" s="372">
        <v>0</v>
      </c>
      <c r="M556" s="372">
        <v>0</v>
      </c>
      <c r="N556" s="372">
        <v>0</v>
      </c>
      <c r="O556" s="372">
        <v>0</v>
      </c>
      <c r="P556" s="372">
        <v>0</v>
      </c>
      <c r="Q556" s="372">
        <v>0</v>
      </c>
      <c r="R556" s="372">
        <v>0</v>
      </c>
      <c r="S556" s="372">
        <v>0</v>
      </c>
    </row>
    <row r="557" spans="1:19" ht="12.75">
      <c r="A557" s="369" t="s">
        <v>253</v>
      </c>
      <c r="B557" s="369" t="s">
        <v>171</v>
      </c>
      <c r="C557" s="369" t="s">
        <v>896</v>
      </c>
      <c r="D557" s="372">
        <v>0</v>
      </c>
      <c r="E557" s="372">
        <v>0</v>
      </c>
      <c r="F557" s="372">
        <v>0</v>
      </c>
      <c r="G557" s="372">
        <v>0</v>
      </c>
      <c r="H557" s="372">
        <v>0</v>
      </c>
      <c r="I557" s="372">
        <v>0</v>
      </c>
      <c r="J557" s="372">
        <v>0</v>
      </c>
      <c r="K557" s="372">
        <v>0</v>
      </c>
      <c r="L557" s="372">
        <v>0</v>
      </c>
      <c r="M557" s="372">
        <v>0</v>
      </c>
      <c r="N557" s="372">
        <v>0</v>
      </c>
      <c r="O557" s="372">
        <v>0</v>
      </c>
      <c r="P557" s="372">
        <v>0</v>
      </c>
      <c r="Q557" s="372">
        <v>0</v>
      </c>
      <c r="R557" s="372">
        <v>0</v>
      </c>
      <c r="S557" s="372">
        <v>0</v>
      </c>
    </row>
    <row r="558" spans="1:19" ht="12.75">
      <c r="A558" s="369" t="s">
        <v>306</v>
      </c>
      <c r="B558" s="369" t="s">
        <v>1329</v>
      </c>
      <c r="C558" s="369" t="s">
        <v>897</v>
      </c>
      <c r="D558" s="372">
        <v>0</v>
      </c>
      <c r="E558" s="372">
        <v>0</v>
      </c>
      <c r="F558" s="372">
        <v>0</v>
      </c>
      <c r="G558" s="372">
        <v>0</v>
      </c>
      <c r="H558" s="372">
        <v>0</v>
      </c>
      <c r="I558" s="372">
        <v>0</v>
      </c>
      <c r="J558" s="372">
        <v>0</v>
      </c>
      <c r="K558" s="372">
        <v>0</v>
      </c>
      <c r="L558" s="372">
        <v>0</v>
      </c>
      <c r="M558" s="372">
        <v>0</v>
      </c>
      <c r="N558" s="372">
        <v>0</v>
      </c>
      <c r="O558" s="372">
        <v>0</v>
      </c>
      <c r="P558" s="372">
        <v>0</v>
      </c>
      <c r="Q558" s="372">
        <v>0</v>
      </c>
      <c r="R558" s="372">
        <v>0</v>
      </c>
      <c r="S558" s="372">
        <v>0</v>
      </c>
    </row>
    <row r="559" spans="1:19" ht="12.75">
      <c r="A559" s="369" t="s">
        <v>307</v>
      </c>
      <c r="B559" s="369" t="s">
        <v>1554</v>
      </c>
      <c r="C559" s="369" t="s">
        <v>898</v>
      </c>
      <c r="D559" s="372">
        <v>0</v>
      </c>
      <c r="E559" s="372">
        <v>0</v>
      </c>
      <c r="F559" s="372">
        <v>0</v>
      </c>
      <c r="G559" s="372">
        <v>0</v>
      </c>
      <c r="H559" s="372">
        <v>0</v>
      </c>
      <c r="I559" s="372">
        <v>0</v>
      </c>
      <c r="J559" s="372">
        <v>0</v>
      </c>
      <c r="K559" s="372">
        <v>0</v>
      </c>
      <c r="L559" s="372">
        <v>0</v>
      </c>
      <c r="M559" s="372">
        <v>0</v>
      </c>
      <c r="N559" s="372">
        <v>0</v>
      </c>
      <c r="O559" s="372">
        <v>0</v>
      </c>
      <c r="P559" s="372">
        <v>0</v>
      </c>
      <c r="Q559" s="372">
        <v>0</v>
      </c>
      <c r="R559" s="372">
        <v>0</v>
      </c>
      <c r="S559" s="372">
        <v>0</v>
      </c>
    </row>
    <row r="560" spans="1:19" ht="12.75">
      <c r="A560" s="369" t="s">
        <v>1112</v>
      </c>
      <c r="B560" s="369" t="s">
        <v>1111</v>
      </c>
      <c r="C560" s="369" t="s">
        <v>899</v>
      </c>
      <c r="D560" s="372">
        <v>0</v>
      </c>
      <c r="E560" s="372">
        <v>0</v>
      </c>
      <c r="F560" s="372">
        <v>0</v>
      </c>
      <c r="G560" s="372">
        <v>0</v>
      </c>
      <c r="H560" s="372">
        <v>0</v>
      </c>
      <c r="I560" s="372">
        <v>0</v>
      </c>
      <c r="J560" s="372">
        <v>0</v>
      </c>
      <c r="K560" s="372">
        <v>0</v>
      </c>
      <c r="L560" s="372">
        <v>0</v>
      </c>
      <c r="M560" s="372">
        <v>0</v>
      </c>
      <c r="N560" s="372">
        <v>0</v>
      </c>
      <c r="O560" s="372">
        <v>0</v>
      </c>
      <c r="P560" s="372">
        <v>0</v>
      </c>
      <c r="Q560" s="372">
        <v>0</v>
      </c>
      <c r="R560" s="372">
        <v>0</v>
      </c>
      <c r="S560" s="372">
        <v>0</v>
      </c>
    </row>
    <row r="561" spans="1:19" ht="12.75">
      <c r="A561" s="369" t="s">
        <v>125</v>
      </c>
      <c r="B561" s="369" t="s">
        <v>147</v>
      </c>
      <c r="C561" s="369" t="s">
        <v>900</v>
      </c>
      <c r="D561" s="372">
        <v>1</v>
      </c>
      <c r="E561" s="372">
        <v>0</v>
      </c>
      <c r="F561" s="372">
        <v>1</v>
      </c>
      <c r="G561" s="372">
        <v>1</v>
      </c>
      <c r="H561" s="372">
        <v>1</v>
      </c>
      <c r="I561" s="372">
        <v>1</v>
      </c>
      <c r="J561" s="372">
        <v>0</v>
      </c>
      <c r="K561" s="372">
        <v>0</v>
      </c>
      <c r="L561" s="372">
        <v>1</v>
      </c>
      <c r="M561" s="372">
        <v>1</v>
      </c>
      <c r="N561" s="372">
        <v>0</v>
      </c>
      <c r="O561" s="372">
        <v>1</v>
      </c>
      <c r="P561" s="372">
        <v>1</v>
      </c>
      <c r="Q561" s="372">
        <v>0</v>
      </c>
      <c r="R561" s="372">
        <v>1</v>
      </c>
      <c r="S561" s="372">
        <v>0</v>
      </c>
    </row>
    <row r="562" spans="1:19" ht="12.75">
      <c r="A562" s="369" t="s">
        <v>126</v>
      </c>
      <c r="B562" s="369" t="s">
        <v>148</v>
      </c>
      <c r="C562" s="369" t="s">
        <v>901</v>
      </c>
      <c r="D562" s="372">
        <v>0</v>
      </c>
      <c r="E562" s="372">
        <v>0</v>
      </c>
      <c r="F562" s="372">
        <v>0</v>
      </c>
      <c r="G562" s="372">
        <v>1</v>
      </c>
      <c r="H562" s="372">
        <v>1</v>
      </c>
      <c r="I562" s="372">
        <v>0</v>
      </c>
      <c r="J562" s="372">
        <v>0</v>
      </c>
      <c r="K562" s="372">
        <v>0</v>
      </c>
      <c r="L562" s="372">
        <v>0</v>
      </c>
      <c r="M562" s="372">
        <v>0</v>
      </c>
      <c r="N562" s="372">
        <v>0</v>
      </c>
      <c r="O562" s="372">
        <v>1</v>
      </c>
      <c r="P562" s="372">
        <v>0</v>
      </c>
      <c r="Q562" s="372">
        <v>0</v>
      </c>
      <c r="R562" s="372">
        <v>0</v>
      </c>
      <c r="S562" s="372">
        <v>0</v>
      </c>
    </row>
    <row r="563" spans="1:19" ht="12.75">
      <c r="A563" s="369" t="s">
        <v>340</v>
      </c>
      <c r="B563" s="369" t="s">
        <v>339</v>
      </c>
      <c r="C563" s="369"/>
      <c r="D563" s="372">
        <v>0</v>
      </c>
      <c r="E563" s="372">
        <v>0</v>
      </c>
      <c r="F563" s="372">
        <v>0</v>
      </c>
      <c r="G563" s="372">
        <v>0</v>
      </c>
      <c r="H563" s="372">
        <v>0</v>
      </c>
      <c r="I563" s="372">
        <v>0</v>
      </c>
      <c r="J563" s="372">
        <v>0</v>
      </c>
      <c r="K563" s="372">
        <v>0</v>
      </c>
      <c r="L563" s="372">
        <v>0</v>
      </c>
      <c r="M563" s="372">
        <v>0</v>
      </c>
      <c r="N563" s="372">
        <v>0</v>
      </c>
      <c r="O563" s="372">
        <v>0</v>
      </c>
      <c r="P563" s="372">
        <v>0</v>
      </c>
      <c r="Q563" s="372">
        <v>0</v>
      </c>
      <c r="R563" s="372">
        <v>0</v>
      </c>
      <c r="S563" s="372">
        <v>0</v>
      </c>
    </row>
    <row r="564" spans="1:19" ht="12.75">
      <c r="A564" s="369" t="s">
        <v>127</v>
      </c>
      <c r="B564" s="369" t="s">
        <v>149</v>
      </c>
      <c r="C564" s="369" t="s">
        <v>902</v>
      </c>
      <c r="D564" s="372">
        <v>0</v>
      </c>
      <c r="E564" s="372">
        <v>0</v>
      </c>
      <c r="F564" s="372">
        <v>0</v>
      </c>
      <c r="G564" s="372">
        <v>0</v>
      </c>
      <c r="H564" s="372">
        <v>0</v>
      </c>
      <c r="I564" s="372">
        <v>0</v>
      </c>
      <c r="J564" s="372">
        <v>0</v>
      </c>
      <c r="K564" s="372">
        <v>0</v>
      </c>
      <c r="L564" s="372">
        <v>0</v>
      </c>
      <c r="M564" s="372">
        <v>0</v>
      </c>
      <c r="N564" s="372">
        <v>0</v>
      </c>
      <c r="O564" s="372">
        <v>0</v>
      </c>
      <c r="P564" s="372">
        <v>1</v>
      </c>
      <c r="Q564" s="372">
        <v>1</v>
      </c>
      <c r="R564" s="372">
        <v>0</v>
      </c>
      <c r="S564" s="372">
        <v>0</v>
      </c>
    </row>
    <row r="565" spans="1:19" ht="12.75">
      <c r="A565" s="369" t="s">
        <v>128</v>
      </c>
      <c r="B565" s="369" t="s">
        <v>2345</v>
      </c>
      <c r="C565" s="369" t="s">
        <v>903</v>
      </c>
      <c r="D565" s="372">
        <v>0</v>
      </c>
      <c r="E565" s="372">
        <v>0</v>
      </c>
      <c r="F565" s="372">
        <v>0</v>
      </c>
      <c r="G565" s="372">
        <v>0</v>
      </c>
      <c r="H565" s="372">
        <v>0</v>
      </c>
      <c r="I565" s="372">
        <v>0</v>
      </c>
      <c r="J565" s="372">
        <v>0</v>
      </c>
      <c r="K565" s="372">
        <v>0</v>
      </c>
      <c r="L565" s="372">
        <v>0</v>
      </c>
      <c r="M565" s="372">
        <v>0</v>
      </c>
      <c r="N565" s="372">
        <v>0</v>
      </c>
      <c r="O565" s="372">
        <v>0</v>
      </c>
      <c r="P565" s="372">
        <v>0</v>
      </c>
      <c r="Q565" s="372">
        <v>0</v>
      </c>
      <c r="R565" s="372">
        <v>0</v>
      </c>
      <c r="S565" s="372">
        <v>0</v>
      </c>
    </row>
    <row r="566" spans="1:19" ht="12.75">
      <c r="A566" s="369" t="s">
        <v>1274</v>
      </c>
      <c r="B566" s="369" t="s">
        <v>1273</v>
      </c>
      <c r="C566" s="369" t="s">
        <v>904</v>
      </c>
      <c r="D566" s="372">
        <v>0</v>
      </c>
      <c r="E566" s="372">
        <v>0</v>
      </c>
      <c r="F566" s="372">
        <v>0</v>
      </c>
      <c r="G566" s="372">
        <v>0</v>
      </c>
      <c r="H566" s="372">
        <v>0</v>
      </c>
      <c r="I566" s="372">
        <v>0</v>
      </c>
      <c r="J566" s="372">
        <v>0</v>
      </c>
      <c r="K566" s="372">
        <v>0</v>
      </c>
      <c r="L566" s="372">
        <v>0</v>
      </c>
      <c r="M566" s="372">
        <v>0</v>
      </c>
      <c r="N566" s="372">
        <v>0</v>
      </c>
      <c r="O566" s="372">
        <v>0</v>
      </c>
      <c r="P566" s="372">
        <v>0</v>
      </c>
      <c r="Q566" s="372">
        <v>0</v>
      </c>
      <c r="R566" s="372">
        <v>0</v>
      </c>
      <c r="S566" s="372">
        <v>0</v>
      </c>
    </row>
    <row r="567" spans="1:19" ht="12.75">
      <c r="A567" s="369" t="s">
        <v>1855</v>
      </c>
      <c r="B567" s="369" t="s">
        <v>2346</v>
      </c>
      <c r="C567" s="369" t="s">
        <v>905</v>
      </c>
      <c r="D567" s="372">
        <v>0</v>
      </c>
      <c r="E567" s="372">
        <v>0</v>
      </c>
      <c r="F567" s="372">
        <v>0</v>
      </c>
      <c r="G567" s="372">
        <v>0</v>
      </c>
      <c r="H567" s="372">
        <v>0</v>
      </c>
      <c r="I567" s="372">
        <v>0</v>
      </c>
      <c r="J567" s="372">
        <v>0</v>
      </c>
      <c r="K567" s="372">
        <v>0</v>
      </c>
      <c r="L567" s="372">
        <v>0</v>
      </c>
      <c r="M567" s="372">
        <v>0</v>
      </c>
      <c r="N567" s="372">
        <v>0</v>
      </c>
      <c r="O567" s="372">
        <v>0</v>
      </c>
      <c r="P567" s="372">
        <v>0</v>
      </c>
      <c r="Q567" s="372">
        <v>0</v>
      </c>
      <c r="R567" s="372">
        <v>0</v>
      </c>
      <c r="S567" s="372">
        <v>0</v>
      </c>
    </row>
    <row r="568" spans="1:19" ht="12.75">
      <c r="A568" s="369" t="s">
        <v>28</v>
      </c>
      <c r="B568" s="369" t="s">
        <v>29</v>
      </c>
      <c r="C568" s="369"/>
      <c r="D568" s="372">
        <v>0</v>
      </c>
      <c r="E568" s="372">
        <v>0</v>
      </c>
      <c r="F568" s="372">
        <v>0</v>
      </c>
      <c r="G568" s="372">
        <v>0</v>
      </c>
      <c r="H568" s="372">
        <v>0</v>
      </c>
      <c r="I568" s="372">
        <v>0</v>
      </c>
      <c r="J568" s="372">
        <v>0</v>
      </c>
      <c r="K568" s="372">
        <v>0</v>
      </c>
      <c r="L568" s="372">
        <v>0</v>
      </c>
      <c r="M568" s="372">
        <v>0</v>
      </c>
      <c r="N568" s="372">
        <v>0</v>
      </c>
      <c r="O568" s="372">
        <v>0</v>
      </c>
      <c r="P568" s="372">
        <v>0</v>
      </c>
      <c r="Q568" s="372">
        <v>0</v>
      </c>
      <c r="R568" s="372">
        <v>0</v>
      </c>
      <c r="S568" s="372">
        <v>0</v>
      </c>
    </row>
    <row r="569" spans="1:19" ht="12.75">
      <c r="A569" s="369" t="s">
        <v>1988</v>
      </c>
      <c r="B569" s="369" t="s">
        <v>150</v>
      </c>
      <c r="C569" s="369" t="s">
        <v>906</v>
      </c>
      <c r="D569" s="372">
        <v>0</v>
      </c>
      <c r="E569" s="372">
        <v>0</v>
      </c>
      <c r="F569" s="372">
        <v>0</v>
      </c>
      <c r="G569" s="372">
        <v>0</v>
      </c>
      <c r="H569" s="372">
        <v>0</v>
      </c>
      <c r="I569" s="372">
        <v>0</v>
      </c>
      <c r="J569" s="372">
        <v>0</v>
      </c>
      <c r="K569" s="372">
        <v>0</v>
      </c>
      <c r="L569" s="372">
        <v>0</v>
      </c>
      <c r="M569" s="372">
        <v>0</v>
      </c>
      <c r="N569" s="372">
        <v>0</v>
      </c>
      <c r="O569" s="372">
        <v>0</v>
      </c>
      <c r="P569" s="372">
        <v>0</v>
      </c>
      <c r="Q569" s="372">
        <v>0</v>
      </c>
      <c r="R569" s="372">
        <v>0</v>
      </c>
      <c r="S569" s="372">
        <v>0</v>
      </c>
    </row>
    <row r="570" spans="1:19" ht="12.75">
      <c r="A570" s="369" t="s">
        <v>2209</v>
      </c>
      <c r="B570" s="369" t="s">
        <v>2208</v>
      </c>
      <c r="C570" s="369" t="s">
        <v>907</v>
      </c>
      <c r="D570" s="372">
        <v>0</v>
      </c>
      <c r="E570" s="372">
        <v>0</v>
      </c>
      <c r="F570" s="372">
        <v>0</v>
      </c>
      <c r="G570" s="372">
        <v>0</v>
      </c>
      <c r="H570" s="372">
        <v>0</v>
      </c>
      <c r="I570" s="372">
        <v>0</v>
      </c>
      <c r="J570" s="372">
        <v>0</v>
      </c>
      <c r="K570" s="372">
        <v>0</v>
      </c>
      <c r="L570" s="372">
        <v>0</v>
      </c>
      <c r="M570" s="372">
        <v>0</v>
      </c>
      <c r="N570" s="372">
        <v>0</v>
      </c>
      <c r="O570" s="372">
        <v>0</v>
      </c>
      <c r="P570" s="372">
        <v>0</v>
      </c>
      <c r="Q570" s="372">
        <v>0</v>
      </c>
      <c r="R570" s="372">
        <v>0</v>
      </c>
      <c r="S570" s="372">
        <v>0</v>
      </c>
    </row>
    <row r="571" spans="1:19" ht="12.75">
      <c r="A571" s="369" t="s">
        <v>1989</v>
      </c>
      <c r="B571" s="369" t="s">
        <v>151</v>
      </c>
      <c r="C571" s="369" t="s">
        <v>908</v>
      </c>
      <c r="D571" s="372">
        <v>0</v>
      </c>
      <c r="E571" s="372">
        <v>0</v>
      </c>
      <c r="F571" s="372">
        <v>0</v>
      </c>
      <c r="G571" s="372">
        <v>0</v>
      </c>
      <c r="H571" s="372">
        <v>0</v>
      </c>
      <c r="I571" s="372">
        <v>0</v>
      </c>
      <c r="J571" s="372">
        <v>0</v>
      </c>
      <c r="K571" s="372">
        <v>0</v>
      </c>
      <c r="L571" s="372">
        <v>0</v>
      </c>
      <c r="M571" s="372">
        <v>0</v>
      </c>
      <c r="N571" s="372">
        <v>0</v>
      </c>
      <c r="O571" s="372">
        <v>0</v>
      </c>
      <c r="P571" s="372">
        <v>0</v>
      </c>
      <c r="Q571" s="372">
        <v>0</v>
      </c>
      <c r="R571" s="372">
        <v>0</v>
      </c>
      <c r="S571" s="372">
        <v>0</v>
      </c>
    </row>
    <row r="572" spans="1:19" ht="12.75">
      <c r="A572" s="369" t="s">
        <v>1276</v>
      </c>
      <c r="B572" s="369" t="s">
        <v>1275</v>
      </c>
      <c r="C572" s="369" t="s">
        <v>909</v>
      </c>
      <c r="D572" s="372">
        <v>0</v>
      </c>
      <c r="E572" s="372">
        <v>0</v>
      </c>
      <c r="F572" s="372">
        <v>0</v>
      </c>
      <c r="G572" s="372">
        <v>0</v>
      </c>
      <c r="H572" s="372">
        <v>0</v>
      </c>
      <c r="I572" s="372">
        <v>0</v>
      </c>
      <c r="J572" s="372">
        <v>0</v>
      </c>
      <c r="K572" s="372">
        <v>0</v>
      </c>
      <c r="L572" s="372">
        <v>0</v>
      </c>
      <c r="M572" s="372">
        <v>0</v>
      </c>
      <c r="N572" s="372">
        <v>0</v>
      </c>
      <c r="O572" s="372">
        <v>0</v>
      </c>
      <c r="P572" s="372">
        <v>0</v>
      </c>
      <c r="Q572" s="372">
        <v>0</v>
      </c>
      <c r="R572" s="372">
        <v>0</v>
      </c>
      <c r="S572" s="372">
        <v>0</v>
      </c>
    </row>
    <row r="573" spans="1:19" ht="12.75">
      <c r="A573" s="369" t="s">
        <v>1286</v>
      </c>
      <c r="B573" s="369" t="s">
        <v>152</v>
      </c>
      <c r="C573" s="369" t="s">
        <v>910</v>
      </c>
      <c r="D573" s="372">
        <v>0</v>
      </c>
      <c r="E573" s="372">
        <v>0</v>
      </c>
      <c r="F573" s="372">
        <v>0</v>
      </c>
      <c r="G573" s="372">
        <v>0</v>
      </c>
      <c r="H573" s="372">
        <v>0</v>
      </c>
      <c r="I573" s="372">
        <v>0</v>
      </c>
      <c r="J573" s="372">
        <v>0</v>
      </c>
      <c r="K573" s="372">
        <v>0</v>
      </c>
      <c r="L573" s="372">
        <v>0</v>
      </c>
      <c r="M573" s="372">
        <v>0</v>
      </c>
      <c r="N573" s="372">
        <v>0</v>
      </c>
      <c r="O573" s="372">
        <v>0</v>
      </c>
      <c r="P573" s="372">
        <v>0</v>
      </c>
      <c r="Q573" s="372">
        <v>0</v>
      </c>
      <c r="R573" s="372">
        <v>0</v>
      </c>
      <c r="S573" s="372">
        <v>0</v>
      </c>
    </row>
    <row r="574" spans="1:19" ht="12.75">
      <c r="A574" s="369" t="s">
        <v>179</v>
      </c>
      <c r="B574" s="369" t="s">
        <v>1115</v>
      </c>
      <c r="C574" s="369" t="s">
        <v>911</v>
      </c>
      <c r="D574" s="372">
        <v>0</v>
      </c>
      <c r="E574" s="372">
        <v>0</v>
      </c>
      <c r="F574" s="372">
        <v>0</v>
      </c>
      <c r="G574" s="372">
        <v>0</v>
      </c>
      <c r="H574" s="372">
        <v>0</v>
      </c>
      <c r="I574" s="372">
        <v>0</v>
      </c>
      <c r="J574" s="372">
        <v>0</v>
      </c>
      <c r="K574" s="372">
        <v>0</v>
      </c>
      <c r="L574" s="372">
        <v>0</v>
      </c>
      <c r="M574" s="372">
        <v>0</v>
      </c>
      <c r="N574" s="372">
        <v>0</v>
      </c>
      <c r="O574" s="372">
        <v>0</v>
      </c>
      <c r="P574" s="372">
        <v>0</v>
      </c>
      <c r="Q574" s="372">
        <v>0</v>
      </c>
      <c r="R574" s="372">
        <v>0</v>
      </c>
      <c r="S574" s="372">
        <v>0</v>
      </c>
    </row>
    <row r="575" spans="1:19" ht="12.75">
      <c r="A575" s="369" t="s">
        <v>1299</v>
      </c>
      <c r="B575" s="369" t="s">
        <v>2347</v>
      </c>
      <c r="C575" s="369" t="s">
        <v>912</v>
      </c>
      <c r="D575" s="372">
        <v>0</v>
      </c>
      <c r="E575" s="372">
        <v>0</v>
      </c>
      <c r="F575" s="372">
        <v>0</v>
      </c>
      <c r="G575" s="372">
        <v>0</v>
      </c>
      <c r="H575" s="372">
        <v>0</v>
      </c>
      <c r="I575" s="372">
        <v>0</v>
      </c>
      <c r="J575" s="372">
        <v>0</v>
      </c>
      <c r="K575" s="372">
        <v>0</v>
      </c>
      <c r="L575" s="372">
        <v>0</v>
      </c>
      <c r="M575" s="372">
        <v>0</v>
      </c>
      <c r="N575" s="372">
        <v>0</v>
      </c>
      <c r="O575" s="372">
        <v>0</v>
      </c>
      <c r="P575" s="372">
        <v>0</v>
      </c>
      <c r="Q575" s="372">
        <v>0</v>
      </c>
      <c r="R575" s="372">
        <v>0</v>
      </c>
      <c r="S575" s="372">
        <v>0</v>
      </c>
    </row>
    <row r="576" spans="1:19" ht="12.75">
      <c r="A576" s="369" t="s">
        <v>1114</v>
      </c>
      <c r="B576" s="369" t="s">
        <v>1113</v>
      </c>
      <c r="C576" s="369" t="s">
        <v>913</v>
      </c>
      <c r="D576" s="372">
        <v>0</v>
      </c>
      <c r="E576" s="372">
        <v>0</v>
      </c>
      <c r="F576" s="372">
        <v>0</v>
      </c>
      <c r="G576" s="372">
        <v>0</v>
      </c>
      <c r="H576" s="372">
        <v>0</v>
      </c>
      <c r="I576" s="372">
        <v>0</v>
      </c>
      <c r="J576" s="372">
        <v>0</v>
      </c>
      <c r="K576" s="372">
        <v>0</v>
      </c>
      <c r="L576" s="372">
        <v>0</v>
      </c>
      <c r="M576" s="372">
        <v>0</v>
      </c>
      <c r="N576" s="372">
        <v>0</v>
      </c>
      <c r="O576" s="372">
        <v>0</v>
      </c>
      <c r="P576" s="372">
        <v>0</v>
      </c>
      <c r="Q576" s="372">
        <v>0</v>
      </c>
      <c r="R576" s="372">
        <v>0</v>
      </c>
      <c r="S576" s="372">
        <v>0</v>
      </c>
    </row>
    <row r="577" spans="1:19" ht="12.75">
      <c r="A577" s="369" t="s">
        <v>1401</v>
      </c>
      <c r="B577" s="369" t="s">
        <v>1402</v>
      </c>
      <c r="C577" s="369"/>
      <c r="D577" s="372">
        <v>0</v>
      </c>
      <c r="E577" s="372">
        <v>0</v>
      </c>
      <c r="F577" s="372">
        <v>0</v>
      </c>
      <c r="G577" s="372">
        <v>0</v>
      </c>
      <c r="H577" s="372">
        <v>0</v>
      </c>
      <c r="I577" s="372">
        <v>0</v>
      </c>
      <c r="J577" s="372">
        <v>0</v>
      </c>
      <c r="K577" s="372">
        <v>0</v>
      </c>
      <c r="L577" s="372">
        <v>0</v>
      </c>
      <c r="M577" s="372">
        <v>0</v>
      </c>
      <c r="N577" s="372">
        <v>0</v>
      </c>
      <c r="O577" s="372">
        <v>0</v>
      </c>
      <c r="P577" s="372">
        <v>0</v>
      </c>
      <c r="Q577" s="372">
        <v>0</v>
      </c>
      <c r="R577" s="372">
        <v>0</v>
      </c>
      <c r="S577" s="372">
        <v>0</v>
      </c>
    </row>
    <row r="578" spans="1:19" ht="12.75">
      <c r="A578" s="369" t="s">
        <v>1300</v>
      </c>
      <c r="B578" s="369" t="s">
        <v>153</v>
      </c>
      <c r="C578" s="369" t="s">
        <v>914</v>
      </c>
      <c r="D578" s="372">
        <v>0</v>
      </c>
      <c r="E578" s="372">
        <v>0</v>
      </c>
      <c r="F578" s="372">
        <v>0</v>
      </c>
      <c r="G578" s="372">
        <v>0</v>
      </c>
      <c r="H578" s="372">
        <v>0</v>
      </c>
      <c r="I578" s="372">
        <v>0</v>
      </c>
      <c r="J578" s="372">
        <v>0</v>
      </c>
      <c r="K578" s="372">
        <v>0</v>
      </c>
      <c r="L578" s="372">
        <v>0</v>
      </c>
      <c r="M578" s="372">
        <v>0</v>
      </c>
      <c r="N578" s="372">
        <v>0</v>
      </c>
      <c r="O578" s="372">
        <v>0</v>
      </c>
      <c r="P578" s="372">
        <v>0</v>
      </c>
      <c r="Q578" s="372">
        <v>0</v>
      </c>
      <c r="R578" s="372">
        <v>0</v>
      </c>
      <c r="S578" s="372">
        <v>0</v>
      </c>
    </row>
    <row r="579" spans="1:19" ht="12.75">
      <c r="A579" s="369" t="s">
        <v>1278</v>
      </c>
      <c r="B579" s="369" t="s">
        <v>1277</v>
      </c>
      <c r="C579" s="369" t="s">
        <v>915</v>
      </c>
      <c r="D579" s="372">
        <v>0</v>
      </c>
      <c r="E579" s="372">
        <v>0</v>
      </c>
      <c r="F579" s="372">
        <v>0</v>
      </c>
      <c r="G579" s="372">
        <v>0</v>
      </c>
      <c r="H579" s="372">
        <v>0</v>
      </c>
      <c r="I579" s="372">
        <v>0</v>
      </c>
      <c r="J579" s="372">
        <v>0</v>
      </c>
      <c r="K579" s="372">
        <v>0</v>
      </c>
      <c r="L579" s="372">
        <v>0</v>
      </c>
      <c r="M579" s="372">
        <v>0</v>
      </c>
      <c r="N579" s="372">
        <v>0</v>
      </c>
      <c r="O579" s="372">
        <v>0</v>
      </c>
      <c r="P579" s="372">
        <v>0</v>
      </c>
      <c r="Q579" s="372">
        <v>0</v>
      </c>
      <c r="R579" s="372">
        <v>0</v>
      </c>
      <c r="S579" s="372">
        <v>0</v>
      </c>
    </row>
    <row r="580" spans="1:19" ht="12.75">
      <c r="A580" s="369" t="s">
        <v>1301</v>
      </c>
      <c r="B580" s="369" t="s">
        <v>1641</v>
      </c>
      <c r="C580" s="369" t="s">
        <v>916</v>
      </c>
      <c r="D580" s="372">
        <v>0</v>
      </c>
      <c r="E580" s="372">
        <v>0</v>
      </c>
      <c r="F580" s="372">
        <v>0</v>
      </c>
      <c r="G580" s="372">
        <v>0</v>
      </c>
      <c r="H580" s="372">
        <v>0</v>
      </c>
      <c r="I580" s="372">
        <v>0</v>
      </c>
      <c r="J580" s="372">
        <v>0</v>
      </c>
      <c r="K580" s="372">
        <v>0</v>
      </c>
      <c r="L580" s="372">
        <v>0</v>
      </c>
      <c r="M580" s="372">
        <v>0</v>
      </c>
      <c r="N580" s="372">
        <v>0</v>
      </c>
      <c r="O580" s="372">
        <v>0</v>
      </c>
      <c r="P580" s="372">
        <v>0</v>
      </c>
      <c r="Q580" s="372">
        <v>0</v>
      </c>
      <c r="R580" s="372">
        <v>0</v>
      </c>
      <c r="S580" s="372">
        <v>0</v>
      </c>
    </row>
    <row r="581" spans="1:19" ht="12.75">
      <c r="A581" s="369" t="s">
        <v>393</v>
      </c>
      <c r="B581" s="369" t="s">
        <v>1279</v>
      </c>
      <c r="C581" s="369" t="s">
        <v>917</v>
      </c>
      <c r="D581" s="372">
        <v>0</v>
      </c>
      <c r="E581" s="372">
        <v>0</v>
      </c>
      <c r="F581" s="372">
        <v>0</v>
      </c>
      <c r="G581" s="372">
        <v>0</v>
      </c>
      <c r="H581" s="372">
        <v>0</v>
      </c>
      <c r="I581" s="372">
        <v>0</v>
      </c>
      <c r="J581" s="372">
        <v>0</v>
      </c>
      <c r="K581" s="372">
        <v>0</v>
      </c>
      <c r="L581" s="372">
        <v>0</v>
      </c>
      <c r="M581" s="372">
        <v>0</v>
      </c>
      <c r="N581" s="372">
        <v>0</v>
      </c>
      <c r="O581" s="372">
        <v>0</v>
      </c>
      <c r="P581" s="372">
        <v>0</v>
      </c>
      <c r="Q581" s="372">
        <v>0</v>
      </c>
      <c r="R581" s="372">
        <v>0</v>
      </c>
      <c r="S581" s="372">
        <v>0</v>
      </c>
    </row>
    <row r="582" spans="1:19" ht="12.75">
      <c r="A582" s="369" t="s">
        <v>1302</v>
      </c>
      <c r="B582" s="369" t="s">
        <v>2193</v>
      </c>
      <c r="C582" s="369" t="s">
        <v>918</v>
      </c>
      <c r="D582" s="372">
        <v>0</v>
      </c>
      <c r="E582" s="372">
        <v>1</v>
      </c>
      <c r="F582" s="372">
        <v>1</v>
      </c>
      <c r="G582" s="372">
        <v>1</v>
      </c>
      <c r="H582" s="372">
        <v>1</v>
      </c>
      <c r="I582" s="372">
        <v>0</v>
      </c>
      <c r="J582" s="372">
        <v>0</v>
      </c>
      <c r="K582" s="372">
        <v>1</v>
      </c>
      <c r="L582" s="372">
        <v>0</v>
      </c>
      <c r="M582" s="372">
        <v>1</v>
      </c>
      <c r="N582" s="372">
        <v>1</v>
      </c>
      <c r="O582" s="372">
        <v>1</v>
      </c>
      <c r="P582" s="372">
        <v>0</v>
      </c>
      <c r="Q582" s="372">
        <v>1</v>
      </c>
      <c r="R582" s="372">
        <v>1</v>
      </c>
      <c r="S582" s="372">
        <v>1</v>
      </c>
    </row>
    <row r="583" spans="1:19" ht="12.75">
      <c r="A583" s="369" t="s">
        <v>1201</v>
      </c>
      <c r="B583" s="369" t="s">
        <v>1202</v>
      </c>
      <c r="C583" s="369" t="s">
        <v>919</v>
      </c>
      <c r="D583" s="372">
        <v>0</v>
      </c>
      <c r="E583" s="372">
        <v>0</v>
      </c>
      <c r="F583" s="372">
        <v>0</v>
      </c>
      <c r="G583" s="372">
        <v>0</v>
      </c>
      <c r="H583" s="372">
        <v>0</v>
      </c>
      <c r="I583" s="372">
        <v>0</v>
      </c>
      <c r="J583" s="372">
        <v>0</v>
      </c>
      <c r="K583" s="372">
        <v>0</v>
      </c>
      <c r="L583" s="372">
        <v>0</v>
      </c>
      <c r="M583" s="372">
        <v>0</v>
      </c>
      <c r="N583" s="372">
        <v>0</v>
      </c>
      <c r="O583" s="372">
        <v>0</v>
      </c>
      <c r="P583" s="372">
        <v>0</v>
      </c>
      <c r="Q583" s="372">
        <v>0</v>
      </c>
      <c r="R583" s="372">
        <v>0</v>
      </c>
      <c r="S583" s="372">
        <v>0</v>
      </c>
    </row>
    <row r="584" spans="1:19" ht="12.75">
      <c r="A584" s="369" t="s">
        <v>1303</v>
      </c>
      <c r="B584" s="369" t="s">
        <v>2144</v>
      </c>
      <c r="C584" s="369" t="s">
        <v>920</v>
      </c>
      <c r="D584" s="372">
        <v>0</v>
      </c>
      <c r="E584" s="372">
        <v>0</v>
      </c>
      <c r="F584" s="372">
        <v>0</v>
      </c>
      <c r="G584" s="372">
        <v>0</v>
      </c>
      <c r="H584" s="372">
        <v>0</v>
      </c>
      <c r="I584" s="372">
        <v>0</v>
      </c>
      <c r="J584" s="372">
        <v>0</v>
      </c>
      <c r="K584" s="372">
        <v>0</v>
      </c>
      <c r="L584" s="372">
        <v>0</v>
      </c>
      <c r="M584" s="372">
        <v>0</v>
      </c>
      <c r="N584" s="372">
        <v>0</v>
      </c>
      <c r="O584" s="372">
        <v>0</v>
      </c>
      <c r="P584" s="372">
        <v>0</v>
      </c>
      <c r="Q584" s="372">
        <v>0</v>
      </c>
      <c r="R584" s="372">
        <v>0</v>
      </c>
      <c r="S584" s="372">
        <v>0</v>
      </c>
    </row>
    <row r="585" spans="1:19" ht="12.75">
      <c r="A585" s="369" t="s">
        <v>1129</v>
      </c>
      <c r="B585" s="369" t="s">
        <v>2145</v>
      </c>
      <c r="C585" s="369" t="s">
        <v>921</v>
      </c>
      <c r="D585" s="372">
        <v>1</v>
      </c>
      <c r="E585" s="372">
        <v>1</v>
      </c>
      <c r="F585" s="372">
        <v>0</v>
      </c>
      <c r="G585" s="372">
        <v>0</v>
      </c>
      <c r="H585" s="372">
        <v>0</v>
      </c>
      <c r="I585" s="372">
        <v>0</v>
      </c>
      <c r="J585" s="372">
        <v>0</v>
      </c>
      <c r="K585" s="372">
        <v>0</v>
      </c>
      <c r="L585" s="372">
        <v>0</v>
      </c>
      <c r="M585" s="372">
        <v>0</v>
      </c>
      <c r="N585" s="372">
        <v>0</v>
      </c>
      <c r="O585" s="372">
        <v>0</v>
      </c>
      <c r="P585" s="372">
        <v>0</v>
      </c>
      <c r="Q585" s="372">
        <v>0</v>
      </c>
      <c r="R585" s="372">
        <v>0</v>
      </c>
      <c r="S585" s="372">
        <v>0</v>
      </c>
    </row>
    <row r="586" spans="1:19" ht="12.75">
      <c r="A586" s="369" t="s">
        <v>1130</v>
      </c>
      <c r="B586" s="369" t="s">
        <v>1342</v>
      </c>
      <c r="C586" s="369" t="s">
        <v>922</v>
      </c>
      <c r="D586" s="372">
        <v>0</v>
      </c>
      <c r="E586" s="372">
        <v>0</v>
      </c>
      <c r="F586" s="372">
        <v>0</v>
      </c>
      <c r="G586" s="372">
        <v>0</v>
      </c>
      <c r="H586" s="372">
        <v>0</v>
      </c>
      <c r="I586" s="372">
        <v>0</v>
      </c>
      <c r="J586" s="372">
        <v>0</v>
      </c>
      <c r="K586" s="372">
        <v>1</v>
      </c>
      <c r="L586" s="372">
        <v>1</v>
      </c>
      <c r="M586" s="372">
        <v>1</v>
      </c>
      <c r="N586" s="372">
        <v>1</v>
      </c>
      <c r="O586" s="372">
        <v>0</v>
      </c>
      <c r="P586" s="372">
        <v>0</v>
      </c>
      <c r="Q586" s="372">
        <v>1</v>
      </c>
      <c r="R586" s="372">
        <v>0</v>
      </c>
      <c r="S586" s="372">
        <v>1</v>
      </c>
    </row>
    <row r="587" spans="1:19" ht="12.75">
      <c r="A587" s="369" t="s">
        <v>2280</v>
      </c>
      <c r="B587" s="369" t="s">
        <v>2279</v>
      </c>
      <c r="C587" s="369" t="s">
        <v>923</v>
      </c>
      <c r="D587" s="372">
        <v>0</v>
      </c>
      <c r="E587" s="372">
        <v>0</v>
      </c>
      <c r="F587" s="372">
        <v>0</v>
      </c>
      <c r="G587" s="372">
        <v>0</v>
      </c>
      <c r="H587" s="372">
        <v>0</v>
      </c>
      <c r="I587" s="372">
        <v>0</v>
      </c>
      <c r="J587" s="372">
        <v>0</v>
      </c>
      <c r="K587" s="372">
        <v>0</v>
      </c>
      <c r="L587" s="372">
        <v>0</v>
      </c>
      <c r="M587" s="372">
        <v>0</v>
      </c>
      <c r="N587" s="372">
        <v>0</v>
      </c>
      <c r="O587" s="372">
        <v>0</v>
      </c>
      <c r="P587" s="372">
        <v>0</v>
      </c>
      <c r="Q587" s="372">
        <v>0</v>
      </c>
      <c r="R587" s="372">
        <v>0</v>
      </c>
      <c r="S587" s="372">
        <v>0</v>
      </c>
    </row>
    <row r="588" spans="1:19" ht="12.75">
      <c r="A588" s="369" t="s">
        <v>2282</v>
      </c>
      <c r="B588" s="369" t="s">
        <v>2281</v>
      </c>
      <c r="C588" s="369"/>
      <c r="D588" s="372">
        <v>0</v>
      </c>
      <c r="E588" s="372">
        <v>0</v>
      </c>
      <c r="F588" s="372">
        <v>0</v>
      </c>
      <c r="G588" s="372">
        <v>0</v>
      </c>
      <c r="H588" s="372">
        <v>0</v>
      </c>
      <c r="I588" s="372">
        <v>0</v>
      </c>
      <c r="J588" s="372">
        <v>0</v>
      </c>
      <c r="K588" s="372">
        <v>0</v>
      </c>
      <c r="L588" s="372">
        <v>0</v>
      </c>
      <c r="M588" s="372">
        <v>0</v>
      </c>
      <c r="N588" s="372">
        <v>0</v>
      </c>
      <c r="O588" s="372">
        <v>0</v>
      </c>
      <c r="P588" s="372">
        <v>0</v>
      </c>
      <c r="Q588" s="372">
        <v>0</v>
      </c>
      <c r="R588" s="372">
        <v>0</v>
      </c>
      <c r="S588" s="372">
        <v>0</v>
      </c>
    </row>
    <row r="589" spans="1:19" ht="12.75">
      <c r="A589" s="369" t="s">
        <v>2284</v>
      </c>
      <c r="B589" s="369" t="s">
        <v>2283</v>
      </c>
      <c r="C589" s="369" t="s">
        <v>924</v>
      </c>
      <c r="D589" s="372">
        <v>0</v>
      </c>
      <c r="E589" s="372">
        <v>0</v>
      </c>
      <c r="F589" s="372">
        <v>0</v>
      </c>
      <c r="G589" s="372">
        <v>0</v>
      </c>
      <c r="H589" s="372">
        <v>0</v>
      </c>
      <c r="I589" s="372">
        <v>0</v>
      </c>
      <c r="J589" s="372">
        <v>0</v>
      </c>
      <c r="K589" s="372">
        <v>0</v>
      </c>
      <c r="L589" s="372">
        <v>0</v>
      </c>
      <c r="M589" s="372">
        <v>0</v>
      </c>
      <c r="N589" s="372">
        <v>0</v>
      </c>
      <c r="O589" s="372">
        <v>0</v>
      </c>
      <c r="P589" s="372">
        <v>0</v>
      </c>
      <c r="Q589" s="372">
        <v>0</v>
      </c>
      <c r="R589" s="372">
        <v>0</v>
      </c>
      <c r="S589" s="372">
        <v>0</v>
      </c>
    </row>
    <row r="590" spans="1:19" ht="12.75">
      <c r="A590" s="369" t="s">
        <v>2286</v>
      </c>
      <c r="B590" s="369" t="s">
        <v>2285</v>
      </c>
      <c r="C590" s="369" t="s">
        <v>925</v>
      </c>
      <c r="D590" s="372">
        <v>0</v>
      </c>
      <c r="E590" s="372">
        <v>0</v>
      </c>
      <c r="F590" s="372">
        <v>0</v>
      </c>
      <c r="G590" s="372">
        <v>0</v>
      </c>
      <c r="H590" s="372">
        <v>0</v>
      </c>
      <c r="I590" s="372">
        <v>0</v>
      </c>
      <c r="J590" s="372">
        <v>0</v>
      </c>
      <c r="K590" s="372">
        <v>0</v>
      </c>
      <c r="L590" s="372">
        <v>0</v>
      </c>
      <c r="M590" s="372">
        <v>0</v>
      </c>
      <c r="N590" s="372">
        <v>0</v>
      </c>
      <c r="O590" s="372">
        <v>0</v>
      </c>
      <c r="P590" s="372">
        <v>0</v>
      </c>
      <c r="Q590" s="372">
        <v>0</v>
      </c>
      <c r="R590" s="372">
        <v>0</v>
      </c>
      <c r="S590" s="372">
        <v>0</v>
      </c>
    </row>
    <row r="591" spans="1:19" ht="12.75">
      <c r="A591" s="369" t="s">
        <v>1992</v>
      </c>
      <c r="B591" s="369" t="s">
        <v>1343</v>
      </c>
      <c r="C591" s="369" t="s">
        <v>926</v>
      </c>
      <c r="D591" s="372">
        <v>0</v>
      </c>
      <c r="E591" s="372">
        <v>0</v>
      </c>
      <c r="F591" s="372">
        <v>0</v>
      </c>
      <c r="G591" s="372">
        <v>0</v>
      </c>
      <c r="H591" s="372">
        <v>0</v>
      </c>
      <c r="I591" s="372">
        <v>0</v>
      </c>
      <c r="J591" s="372">
        <v>0</v>
      </c>
      <c r="K591" s="372">
        <v>0</v>
      </c>
      <c r="L591" s="372">
        <v>0</v>
      </c>
      <c r="M591" s="372">
        <v>0</v>
      </c>
      <c r="N591" s="372">
        <v>0</v>
      </c>
      <c r="O591" s="372">
        <v>0</v>
      </c>
      <c r="P591" s="372">
        <v>0</v>
      </c>
      <c r="Q591" s="372">
        <v>0</v>
      </c>
      <c r="R591" s="372">
        <v>0</v>
      </c>
      <c r="S591" s="372">
        <v>1</v>
      </c>
    </row>
    <row r="592" spans="1:19" ht="12.75">
      <c r="A592" s="369" t="s">
        <v>2207</v>
      </c>
      <c r="B592" s="369" t="s">
        <v>2287</v>
      </c>
      <c r="C592" s="369" t="s">
        <v>927</v>
      </c>
      <c r="D592" s="372">
        <v>0</v>
      </c>
      <c r="E592" s="372">
        <v>0</v>
      </c>
      <c r="F592" s="372">
        <v>0</v>
      </c>
      <c r="G592" s="372">
        <v>0</v>
      </c>
      <c r="H592" s="372">
        <v>0</v>
      </c>
      <c r="I592" s="372">
        <v>0</v>
      </c>
      <c r="J592" s="372">
        <v>0</v>
      </c>
      <c r="K592" s="372">
        <v>0</v>
      </c>
      <c r="L592" s="372">
        <v>0</v>
      </c>
      <c r="M592" s="372">
        <v>0</v>
      </c>
      <c r="N592" s="372">
        <v>0</v>
      </c>
      <c r="O592" s="372">
        <v>0</v>
      </c>
      <c r="P592" s="372">
        <v>0</v>
      </c>
      <c r="Q592" s="372">
        <v>0</v>
      </c>
      <c r="R592" s="372">
        <v>0</v>
      </c>
      <c r="S592" s="372">
        <v>0</v>
      </c>
    </row>
    <row r="593" spans="1:19" ht="12.75">
      <c r="A593" s="369" t="s">
        <v>2401</v>
      </c>
      <c r="B593" s="369" t="s">
        <v>1358</v>
      </c>
      <c r="C593" s="369" t="s">
        <v>928</v>
      </c>
      <c r="D593" s="372">
        <v>0</v>
      </c>
      <c r="E593" s="372">
        <v>0</v>
      </c>
      <c r="F593" s="372">
        <v>0</v>
      </c>
      <c r="G593" s="372">
        <v>0</v>
      </c>
      <c r="H593" s="372">
        <v>0</v>
      </c>
      <c r="I593" s="372">
        <v>0</v>
      </c>
      <c r="J593" s="372">
        <v>0</v>
      </c>
      <c r="K593" s="372">
        <v>0</v>
      </c>
      <c r="L593" s="372">
        <v>0</v>
      </c>
      <c r="M593" s="372">
        <v>0</v>
      </c>
      <c r="N593" s="372">
        <v>0</v>
      </c>
      <c r="O593" s="372">
        <v>0</v>
      </c>
      <c r="P593" s="372">
        <v>0</v>
      </c>
      <c r="Q593" s="372">
        <v>0</v>
      </c>
      <c r="R593" s="372">
        <v>0</v>
      </c>
      <c r="S593" s="372">
        <v>0</v>
      </c>
    </row>
    <row r="594" spans="1:19" ht="12.75">
      <c r="A594" s="369" t="s">
        <v>1993</v>
      </c>
      <c r="B594" s="369" t="s">
        <v>1344</v>
      </c>
      <c r="C594" s="369" t="s">
        <v>929</v>
      </c>
      <c r="D594" s="372">
        <v>1</v>
      </c>
      <c r="E594" s="372">
        <v>0</v>
      </c>
      <c r="F594" s="372">
        <v>0</v>
      </c>
      <c r="G594" s="372">
        <v>1</v>
      </c>
      <c r="H594" s="372">
        <v>1</v>
      </c>
      <c r="I594" s="372">
        <v>0</v>
      </c>
      <c r="J594" s="372">
        <v>0</v>
      </c>
      <c r="K594" s="372">
        <v>0</v>
      </c>
      <c r="L594" s="372">
        <v>1</v>
      </c>
      <c r="M594" s="372">
        <v>0</v>
      </c>
      <c r="N594" s="372">
        <v>0</v>
      </c>
      <c r="O594" s="372">
        <v>1</v>
      </c>
      <c r="P594" s="372">
        <v>0</v>
      </c>
      <c r="Q594" s="372">
        <v>0</v>
      </c>
      <c r="R594" s="372">
        <v>0</v>
      </c>
      <c r="S594" s="372">
        <v>1</v>
      </c>
    </row>
    <row r="595" spans="1:19" ht="12.75">
      <c r="A595" s="369" t="s">
        <v>1994</v>
      </c>
      <c r="B595" s="369" t="s">
        <v>1711</v>
      </c>
      <c r="C595" s="369" t="s">
        <v>930</v>
      </c>
      <c r="D595" s="372">
        <v>0</v>
      </c>
      <c r="E595" s="372">
        <v>0</v>
      </c>
      <c r="F595" s="372">
        <v>0</v>
      </c>
      <c r="G595" s="372">
        <v>0</v>
      </c>
      <c r="H595" s="372">
        <v>0</v>
      </c>
      <c r="I595" s="372">
        <v>0</v>
      </c>
      <c r="J595" s="372">
        <v>0</v>
      </c>
      <c r="K595" s="372">
        <v>0</v>
      </c>
      <c r="L595" s="372">
        <v>0</v>
      </c>
      <c r="M595" s="372">
        <v>0</v>
      </c>
      <c r="N595" s="372">
        <v>0</v>
      </c>
      <c r="O595" s="372">
        <v>0</v>
      </c>
      <c r="P595" s="372">
        <v>0</v>
      </c>
      <c r="Q595" s="372">
        <v>0</v>
      </c>
      <c r="R595" s="372">
        <v>0</v>
      </c>
      <c r="S595" s="372">
        <v>0</v>
      </c>
    </row>
    <row r="596" spans="1:19" ht="12.75">
      <c r="A596" s="369" t="s">
        <v>145</v>
      </c>
      <c r="B596" s="369" t="s">
        <v>2348</v>
      </c>
      <c r="C596" s="369" t="s">
        <v>931</v>
      </c>
      <c r="D596" s="372">
        <v>0</v>
      </c>
      <c r="E596" s="372">
        <v>0</v>
      </c>
      <c r="F596" s="372">
        <v>0</v>
      </c>
      <c r="G596" s="372">
        <v>0</v>
      </c>
      <c r="H596" s="372">
        <v>0</v>
      </c>
      <c r="I596" s="372">
        <v>0</v>
      </c>
      <c r="J596" s="372">
        <v>0</v>
      </c>
      <c r="K596" s="372">
        <v>0</v>
      </c>
      <c r="L596" s="372">
        <v>0</v>
      </c>
      <c r="M596" s="372">
        <v>0</v>
      </c>
      <c r="N596" s="372">
        <v>0</v>
      </c>
      <c r="O596" s="372">
        <v>0</v>
      </c>
      <c r="P596" s="372">
        <v>0</v>
      </c>
      <c r="Q596" s="372">
        <v>0</v>
      </c>
      <c r="R596" s="372">
        <v>0</v>
      </c>
      <c r="S596" s="372">
        <v>0</v>
      </c>
    </row>
    <row r="597" spans="1:19" ht="12.75">
      <c r="A597" s="369" t="s">
        <v>146</v>
      </c>
      <c r="B597" s="369" t="s">
        <v>1712</v>
      </c>
      <c r="C597" s="369" t="s">
        <v>932</v>
      </c>
      <c r="D597" s="372">
        <v>0</v>
      </c>
      <c r="E597" s="372">
        <v>0</v>
      </c>
      <c r="F597" s="372">
        <v>0</v>
      </c>
      <c r="G597" s="372">
        <v>0</v>
      </c>
      <c r="H597" s="372">
        <v>0</v>
      </c>
      <c r="I597" s="372">
        <v>0</v>
      </c>
      <c r="J597" s="372">
        <v>0</v>
      </c>
      <c r="K597" s="372">
        <v>0</v>
      </c>
      <c r="L597" s="372">
        <v>0</v>
      </c>
      <c r="M597" s="372">
        <v>1</v>
      </c>
      <c r="N597" s="372">
        <v>0</v>
      </c>
      <c r="O597" s="372">
        <v>0</v>
      </c>
      <c r="P597" s="372">
        <v>0</v>
      </c>
      <c r="Q597" s="372">
        <v>0</v>
      </c>
      <c r="R597" s="372">
        <v>0</v>
      </c>
      <c r="S597" s="372">
        <v>0</v>
      </c>
    </row>
    <row r="598" spans="1:19" ht="12.75">
      <c r="A598" s="369" t="s">
        <v>303</v>
      </c>
      <c r="B598" s="369" t="s">
        <v>1873</v>
      </c>
      <c r="C598" s="369" t="s">
        <v>933</v>
      </c>
      <c r="D598" s="372">
        <v>0</v>
      </c>
      <c r="E598" s="372">
        <v>0</v>
      </c>
      <c r="F598" s="372">
        <v>0</v>
      </c>
      <c r="G598" s="372">
        <v>0</v>
      </c>
      <c r="H598" s="372">
        <v>0</v>
      </c>
      <c r="I598" s="372">
        <v>0</v>
      </c>
      <c r="J598" s="372">
        <v>0</v>
      </c>
      <c r="K598" s="372">
        <v>0</v>
      </c>
      <c r="L598" s="372">
        <v>0</v>
      </c>
      <c r="M598" s="372">
        <v>0</v>
      </c>
      <c r="N598" s="372">
        <v>0</v>
      </c>
      <c r="O598" s="372">
        <v>0</v>
      </c>
      <c r="P598" s="372">
        <v>0</v>
      </c>
      <c r="Q598" s="372">
        <v>0</v>
      </c>
      <c r="R598" s="372">
        <v>0</v>
      </c>
      <c r="S598" s="372">
        <v>0</v>
      </c>
    </row>
    <row r="599" spans="1:19" ht="12.75">
      <c r="A599" s="369" t="s">
        <v>304</v>
      </c>
      <c r="B599" s="369" t="s">
        <v>105</v>
      </c>
      <c r="C599" s="369" t="s">
        <v>934</v>
      </c>
      <c r="D599" s="372">
        <v>0</v>
      </c>
      <c r="E599" s="372">
        <v>0</v>
      </c>
      <c r="F599" s="372">
        <v>0</v>
      </c>
      <c r="G599" s="372">
        <v>0</v>
      </c>
      <c r="H599" s="372">
        <v>0</v>
      </c>
      <c r="I599" s="372">
        <v>0</v>
      </c>
      <c r="J599" s="372">
        <v>0</v>
      </c>
      <c r="K599" s="372">
        <v>0</v>
      </c>
      <c r="L599" s="372">
        <v>0</v>
      </c>
      <c r="M599" s="372">
        <v>0</v>
      </c>
      <c r="N599" s="372">
        <v>0</v>
      </c>
      <c r="O599" s="372">
        <v>0</v>
      </c>
      <c r="P599" s="372">
        <v>0</v>
      </c>
      <c r="Q599" s="372">
        <v>0</v>
      </c>
      <c r="R599" s="372">
        <v>0</v>
      </c>
      <c r="S599" s="372">
        <v>0</v>
      </c>
    </row>
    <row r="600" spans="1:19" ht="12.75">
      <c r="A600" s="369" t="s">
        <v>2022</v>
      </c>
      <c r="B600" s="369" t="s">
        <v>1630</v>
      </c>
      <c r="C600" s="369" t="s">
        <v>935</v>
      </c>
      <c r="D600" s="372">
        <v>0</v>
      </c>
      <c r="E600" s="372">
        <v>0</v>
      </c>
      <c r="F600" s="372">
        <v>0</v>
      </c>
      <c r="G600" s="372">
        <v>0</v>
      </c>
      <c r="H600" s="372">
        <v>0</v>
      </c>
      <c r="I600" s="372">
        <v>0</v>
      </c>
      <c r="J600" s="372">
        <v>0</v>
      </c>
      <c r="K600" s="372">
        <v>0</v>
      </c>
      <c r="L600" s="372">
        <v>0</v>
      </c>
      <c r="M600" s="372">
        <v>0</v>
      </c>
      <c r="N600" s="372">
        <v>0</v>
      </c>
      <c r="O600" s="372">
        <v>0</v>
      </c>
      <c r="P600" s="372">
        <v>0</v>
      </c>
      <c r="Q600" s="372">
        <v>0</v>
      </c>
      <c r="R600" s="372">
        <v>0</v>
      </c>
      <c r="S600" s="372">
        <v>0</v>
      </c>
    </row>
    <row r="601" spans="1:19" ht="12.75">
      <c r="A601" s="369" t="s">
        <v>1980</v>
      </c>
      <c r="B601" s="369" t="s">
        <v>1981</v>
      </c>
      <c r="C601" s="369"/>
      <c r="D601" s="372">
        <v>0</v>
      </c>
      <c r="E601" s="372">
        <v>0</v>
      </c>
      <c r="F601" s="372">
        <v>0</v>
      </c>
      <c r="G601" s="372">
        <v>0</v>
      </c>
      <c r="H601" s="372">
        <v>0</v>
      </c>
      <c r="I601" s="372">
        <v>0</v>
      </c>
      <c r="J601" s="372">
        <v>0</v>
      </c>
      <c r="K601" s="372">
        <v>0</v>
      </c>
      <c r="L601" s="372">
        <v>0</v>
      </c>
      <c r="M601" s="372">
        <v>0</v>
      </c>
      <c r="N601" s="372">
        <v>0</v>
      </c>
      <c r="O601" s="372">
        <v>0</v>
      </c>
      <c r="P601" s="372">
        <v>0</v>
      </c>
      <c r="Q601" s="372">
        <v>0</v>
      </c>
      <c r="R601" s="372">
        <v>0</v>
      </c>
      <c r="S601" s="372">
        <v>0</v>
      </c>
    </row>
    <row r="602" spans="1:19" ht="12.75">
      <c r="A602" s="369" t="s">
        <v>305</v>
      </c>
      <c r="B602" s="369" t="s">
        <v>2479</v>
      </c>
      <c r="C602" s="369" t="s">
        <v>936</v>
      </c>
      <c r="D602" s="372">
        <v>0</v>
      </c>
      <c r="E602" s="372">
        <v>0</v>
      </c>
      <c r="F602" s="372">
        <v>0</v>
      </c>
      <c r="G602" s="372">
        <v>1</v>
      </c>
      <c r="H602" s="372">
        <v>1</v>
      </c>
      <c r="I602" s="372">
        <v>0</v>
      </c>
      <c r="J602" s="372">
        <v>0</v>
      </c>
      <c r="K602" s="372">
        <v>0</v>
      </c>
      <c r="L602" s="372">
        <v>0</v>
      </c>
      <c r="M602" s="372">
        <v>0</v>
      </c>
      <c r="N602" s="372">
        <v>0</v>
      </c>
      <c r="O602" s="372">
        <v>1</v>
      </c>
      <c r="P602" s="372">
        <v>0</v>
      </c>
      <c r="Q602" s="372">
        <v>0</v>
      </c>
      <c r="R602" s="372">
        <v>0</v>
      </c>
      <c r="S602" s="372">
        <v>0</v>
      </c>
    </row>
    <row r="603" spans="1:19" ht="12.75">
      <c r="A603" s="369" t="s">
        <v>1524</v>
      </c>
      <c r="B603" s="369" t="s">
        <v>2480</v>
      </c>
      <c r="C603" s="369" t="s">
        <v>937</v>
      </c>
      <c r="D603" s="372">
        <v>0</v>
      </c>
      <c r="E603" s="372">
        <v>0</v>
      </c>
      <c r="F603" s="372">
        <v>0</v>
      </c>
      <c r="G603" s="372">
        <v>0</v>
      </c>
      <c r="H603" s="372">
        <v>0</v>
      </c>
      <c r="I603" s="372">
        <v>0</v>
      </c>
      <c r="J603" s="372">
        <v>0</v>
      </c>
      <c r="K603" s="372">
        <v>0</v>
      </c>
      <c r="L603" s="372">
        <v>0</v>
      </c>
      <c r="M603" s="372">
        <v>0</v>
      </c>
      <c r="N603" s="372">
        <v>1</v>
      </c>
      <c r="O603" s="372">
        <v>0</v>
      </c>
      <c r="P603" s="372">
        <v>0</v>
      </c>
      <c r="Q603" s="372">
        <v>0</v>
      </c>
      <c r="R603" s="372">
        <v>0</v>
      </c>
      <c r="S603" s="372">
        <v>0</v>
      </c>
    </row>
    <row r="604" spans="1:19" ht="12.75">
      <c r="A604" s="369" t="s">
        <v>1952</v>
      </c>
      <c r="B604" s="369" t="s">
        <v>2023</v>
      </c>
      <c r="C604" s="369" t="s">
        <v>938</v>
      </c>
      <c r="D604" s="372">
        <v>0</v>
      </c>
      <c r="E604" s="372">
        <v>0</v>
      </c>
      <c r="F604" s="372">
        <v>0</v>
      </c>
      <c r="G604" s="372">
        <v>0</v>
      </c>
      <c r="H604" s="372">
        <v>0</v>
      </c>
      <c r="I604" s="372">
        <v>0</v>
      </c>
      <c r="J604" s="372">
        <v>0</v>
      </c>
      <c r="K604" s="372">
        <v>0</v>
      </c>
      <c r="L604" s="372">
        <v>0</v>
      </c>
      <c r="M604" s="372">
        <v>0</v>
      </c>
      <c r="N604" s="372">
        <v>0</v>
      </c>
      <c r="O604" s="372">
        <v>0</v>
      </c>
      <c r="P604" s="372">
        <v>0</v>
      </c>
      <c r="Q604" s="372">
        <v>0</v>
      </c>
      <c r="R604" s="372">
        <v>0</v>
      </c>
      <c r="S604" s="372">
        <v>0</v>
      </c>
    </row>
    <row r="605" spans="1:19" ht="12.75">
      <c r="A605" s="369" t="s">
        <v>1954</v>
      </c>
      <c r="B605" s="369" t="s">
        <v>1953</v>
      </c>
      <c r="C605" s="369" t="s">
        <v>939</v>
      </c>
      <c r="D605" s="372">
        <v>0</v>
      </c>
      <c r="E605" s="372">
        <v>0</v>
      </c>
      <c r="F605" s="372">
        <v>0</v>
      </c>
      <c r="G605" s="372">
        <v>0</v>
      </c>
      <c r="H605" s="372">
        <v>0</v>
      </c>
      <c r="I605" s="372">
        <v>0</v>
      </c>
      <c r="J605" s="372">
        <v>0</v>
      </c>
      <c r="K605" s="372">
        <v>0</v>
      </c>
      <c r="L605" s="372">
        <v>0</v>
      </c>
      <c r="M605" s="372">
        <v>0</v>
      </c>
      <c r="N605" s="372">
        <v>0</v>
      </c>
      <c r="O605" s="372">
        <v>0</v>
      </c>
      <c r="P605" s="372">
        <v>0</v>
      </c>
      <c r="Q605" s="372">
        <v>0</v>
      </c>
      <c r="R605" s="372">
        <v>0</v>
      </c>
      <c r="S605" s="372">
        <v>0</v>
      </c>
    </row>
    <row r="606" spans="1:19" ht="12.75">
      <c r="A606" s="369" t="s">
        <v>1525</v>
      </c>
      <c r="B606" s="369" t="s">
        <v>2481</v>
      </c>
      <c r="C606" s="369" t="s">
        <v>940</v>
      </c>
      <c r="D606" s="372">
        <v>0</v>
      </c>
      <c r="E606" s="372">
        <v>0</v>
      </c>
      <c r="F606" s="372">
        <v>0</v>
      </c>
      <c r="G606" s="372">
        <v>0</v>
      </c>
      <c r="H606" s="372">
        <v>0</v>
      </c>
      <c r="I606" s="372">
        <v>0</v>
      </c>
      <c r="J606" s="372">
        <v>0</v>
      </c>
      <c r="K606" s="372">
        <v>0</v>
      </c>
      <c r="L606" s="372">
        <v>0</v>
      </c>
      <c r="M606" s="372">
        <v>0</v>
      </c>
      <c r="N606" s="372">
        <v>0</v>
      </c>
      <c r="O606" s="372">
        <v>0</v>
      </c>
      <c r="P606" s="372">
        <v>0</v>
      </c>
      <c r="Q606" s="372">
        <v>0</v>
      </c>
      <c r="R606" s="372">
        <v>0</v>
      </c>
      <c r="S606" s="372">
        <v>0</v>
      </c>
    </row>
    <row r="607" spans="1:19" ht="12.75">
      <c r="A607" s="369" t="s">
        <v>1526</v>
      </c>
      <c r="B607" s="369" t="s">
        <v>2482</v>
      </c>
      <c r="C607" s="369" t="s">
        <v>941</v>
      </c>
      <c r="D607" s="372">
        <v>0</v>
      </c>
      <c r="E607" s="372">
        <v>0</v>
      </c>
      <c r="F607" s="372">
        <v>0</v>
      </c>
      <c r="G607" s="372">
        <v>0</v>
      </c>
      <c r="H607" s="372">
        <v>0</v>
      </c>
      <c r="I607" s="372">
        <v>0</v>
      </c>
      <c r="J607" s="372">
        <v>0</v>
      </c>
      <c r="K607" s="372">
        <v>0</v>
      </c>
      <c r="L607" s="372">
        <v>0</v>
      </c>
      <c r="M607" s="372">
        <v>0</v>
      </c>
      <c r="N607" s="372">
        <v>0</v>
      </c>
      <c r="O607" s="372">
        <v>0</v>
      </c>
      <c r="P607" s="372">
        <v>0</v>
      </c>
      <c r="Q607" s="372">
        <v>0</v>
      </c>
      <c r="R607" s="372">
        <v>0</v>
      </c>
      <c r="S607" s="372">
        <v>0</v>
      </c>
    </row>
    <row r="608" spans="1:19" ht="12.75">
      <c r="A608" s="369" t="s">
        <v>1527</v>
      </c>
      <c r="B608" s="369" t="s">
        <v>2483</v>
      </c>
      <c r="C608" s="369" t="s">
        <v>942</v>
      </c>
      <c r="D608" s="372">
        <v>0</v>
      </c>
      <c r="E608" s="372">
        <v>0</v>
      </c>
      <c r="F608" s="372">
        <v>0</v>
      </c>
      <c r="G608" s="372">
        <v>0</v>
      </c>
      <c r="H608" s="372">
        <v>0</v>
      </c>
      <c r="I608" s="372">
        <v>0</v>
      </c>
      <c r="J608" s="372">
        <v>0</v>
      </c>
      <c r="K608" s="372">
        <v>0</v>
      </c>
      <c r="L608" s="372">
        <v>0</v>
      </c>
      <c r="M608" s="372">
        <v>0</v>
      </c>
      <c r="N608" s="372">
        <v>0</v>
      </c>
      <c r="O608" s="372">
        <v>0</v>
      </c>
      <c r="P608" s="372">
        <v>0</v>
      </c>
      <c r="Q608" s="372">
        <v>1</v>
      </c>
      <c r="R608" s="372">
        <v>0</v>
      </c>
      <c r="S608" s="372">
        <v>0</v>
      </c>
    </row>
    <row r="609" spans="1:19" ht="12.75">
      <c r="A609" s="369" t="s">
        <v>1117</v>
      </c>
      <c r="B609" s="369" t="s">
        <v>1116</v>
      </c>
      <c r="C609" s="369"/>
      <c r="D609" s="372">
        <v>1</v>
      </c>
      <c r="E609" s="372">
        <v>0</v>
      </c>
      <c r="F609" s="372">
        <v>1</v>
      </c>
      <c r="G609" s="372">
        <v>1</v>
      </c>
      <c r="H609" s="372">
        <v>1</v>
      </c>
      <c r="I609" s="372">
        <v>1</v>
      </c>
      <c r="J609" s="372">
        <v>1</v>
      </c>
      <c r="K609" s="372">
        <v>0</v>
      </c>
      <c r="L609" s="372">
        <v>1</v>
      </c>
      <c r="M609" s="372">
        <v>0</v>
      </c>
      <c r="N609" s="372">
        <v>0</v>
      </c>
      <c r="O609" s="372">
        <v>1</v>
      </c>
      <c r="P609" s="372">
        <v>1</v>
      </c>
      <c r="Q609" s="372">
        <v>0</v>
      </c>
      <c r="R609" s="372">
        <v>0</v>
      </c>
      <c r="S609" s="372">
        <v>0</v>
      </c>
    </row>
    <row r="610" spans="1:19" ht="12.75">
      <c r="A610" s="369" t="s">
        <v>1558</v>
      </c>
      <c r="B610" s="369" t="s">
        <v>1557</v>
      </c>
      <c r="C610" s="369" t="s">
        <v>943</v>
      </c>
      <c r="D610" s="372">
        <v>0</v>
      </c>
      <c r="E610" s="372">
        <v>0</v>
      </c>
      <c r="F610" s="372">
        <v>0</v>
      </c>
      <c r="G610" s="372">
        <v>0</v>
      </c>
      <c r="H610" s="372">
        <v>0</v>
      </c>
      <c r="I610" s="372">
        <v>0</v>
      </c>
      <c r="J610" s="372">
        <v>0</v>
      </c>
      <c r="K610" s="372">
        <v>0</v>
      </c>
      <c r="L610" s="372">
        <v>0</v>
      </c>
      <c r="M610" s="372">
        <v>0</v>
      </c>
      <c r="N610" s="372">
        <v>0</v>
      </c>
      <c r="O610" s="372">
        <v>0</v>
      </c>
      <c r="P610" s="372">
        <v>0</v>
      </c>
      <c r="Q610" s="372">
        <v>0</v>
      </c>
      <c r="R610" s="372">
        <v>0</v>
      </c>
      <c r="S610" s="372">
        <v>0</v>
      </c>
    </row>
    <row r="611" spans="1:19" ht="12.75">
      <c r="A611" s="369" t="s">
        <v>1203</v>
      </c>
      <c r="B611" s="369" t="s">
        <v>1204</v>
      </c>
      <c r="C611" s="369" t="s">
        <v>944</v>
      </c>
      <c r="D611" s="372">
        <v>0</v>
      </c>
      <c r="E611" s="372">
        <v>0</v>
      </c>
      <c r="F611" s="372">
        <v>0</v>
      </c>
      <c r="G611" s="372">
        <v>0</v>
      </c>
      <c r="H611" s="372">
        <v>0</v>
      </c>
      <c r="I611" s="372">
        <v>0</v>
      </c>
      <c r="J611" s="372">
        <v>0</v>
      </c>
      <c r="K611" s="372">
        <v>0</v>
      </c>
      <c r="L611" s="372">
        <v>0</v>
      </c>
      <c r="M611" s="372">
        <v>0</v>
      </c>
      <c r="N611" s="372">
        <v>0</v>
      </c>
      <c r="O611" s="372">
        <v>0</v>
      </c>
      <c r="P611" s="372">
        <v>0</v>
      </c>
      <c r="Q611" s="372">
        <v>0</v>
      </c>
      <c r="R611" s="372">
        <v>0</v>
      </c>
      <c r="S611" s="372">
        <v>0</v>
      </c>
    </row>
    <row r="612" spans="1:19" ht="12.75">
      <c r="A612" s="369" t="s">
        <v>2324</v>
      </c>
      <c r="B612" s="369" t="s">
        <v>2484</v>
      </c>
      <c r="C612" s="369" t="s">
        <v>945</v>
      </c>
      <c r="D612" s="372">
        <v>0</v>
      </c>
      <c r="E612" s="372">
        <v>0</v>
      </c>
      <c r="F612" s="372">
        <v>0</v>
      </c>
      <c r="G612" s="372">
        <v>0</v>
      </c>
      <c r="H612" s="372">
        <v>0</v>
      </c>
      <c r="I612" s="372">
        <v>0</v>
      </c>
      <c r="J612" s="372">
        <v>0</v>
      </c>
      <c r="K612" s="372">
        <v>0</v>
      </c>
      <c r="L612" s="372">
        <v>0</v>
      </c>
      <c r="M612" s="372">
        <v>0</v>
      </c>
      <c r="N612" s="372">
        <v>0</v>
      </c>
      <c r="O612" s="372">
        <v>0</v>
      </c>
      <c r="P612" s="372">
        <v>0</v>
      </c>
      <c r="Q612" s="372">
        <v>1</v>
      </c>
      <c r="R612" s="372">
        <v>0</v>
      </c>
      <c r="S612" s="372">
        <v>0</v>
      </c>
    </row>
    <row r="613" spans="1:19" ht="12.75">
      <c r="A613" s="369" t="s">
        <v>1123</v>
      </c>
      <c r="B613" s="369" t="s">
        <v>946</v>
      </c>
      <c r="C613" s="369" t="s">
        <v>947</v>
      </c>
      <c r="D613" s="372">
        <v>0</v>
      </c>
      <c r="E613" s="372">
        <v>0</v>
      </c>
      <c r="F613" s="372">
        <v>0</v>
      </c>
      <c r="G613" s="372">
        <v>0</v>
      </c>
      <c r="H613" s="372">
        <v>0</v>
      </c>
      <c r="I613" s="372">
        <v>0</v>
      </c>
      <c r="J613" s="372">
        <v>0</v>
      </c>
      <c r="K613" s="372">
        <v>0</v>
      </c>
      <c r="L613" s="372">
        <v>0</v>
      </c>
      <c r="M613" s="372">
        <v>0</v>
      </c>
      <c r="N613" s="372">
        <v>0</v>
      </c>
      <c r="O613" s="372">
        <v>0</v>
      </c>
      <c r="P613" s="372">
        <v>0</v>
      </c>
      <c r="Q613" s="372">
        <v>0</v>
      </c>
      <c r="R613" s="372">
        <v>0</v>
      </c>
      <c r="S613" s="372">
        <v>0</v>
      </c>
    </row>
    <row r="614" spans="1:19" ht="12.75">
      <c r="A614" s="369" t="s">
        <v>2223</v>
      </c>
      <c r="B614" s="369" t="s">
        <v>106</v>
      </c>
      <c r="C614" s="369" t="s">
        <v>948</v>
      </c>
      <c r="D614" s="372">
        <v>0</v>
      </c>
      <c r="E614" s="372">
        <v>0</v>
      </c>
      <c r="F614" s="372">
        <v>0</v>
      </c>
      <c r="G614" s="372">
        <v>0</v>
      </c>
      <c r="H614" s="372">
        <v>0</v>
      </c>
      <c r="I614" s="372">
        <v>0</v>
      </c>
      <c r="J614" s="372">
        <v>0</v>
      </c>
      <c r="K614" s="372">
        <v>0</v>
      </c>
      <c r="L614" s="372">
        <v>0</v>
      </c>
      <c r="M614" s="372">
        <v>0</v>
      </c>
      <c r="N614" s="372">
        <v>0</v>
      </c>
      <c r="O614" s="372">
        <v>0</v>
      </c>
      <c r="P614" s="372">
        <v>0</v>
      </c>
      <c r="Q614" s="372">
        <v>0</v>
      </c>
      <c r="R614" s="372">
        <v>0</v>
      </c>
      <c r="S614" s="372">
        <v>0</v>
      </c>
    </row>
    <row r="615" spans="1:19" ht="12.75">
      <c r="A615" s="369" t="s">
        <v>1205</v>
      </c>
      <c r="B615" s="369" t="s">
        <v>949</v>
      </c>
      <c r="C615" s="369" t="s">
        <v>950</v>
      </c>
      <c r="D615" s="372">
        <v>0</v>
      </c>
      <c r="E615" s="372">
        <v>0</v>
      </c>
      <c r="F615" s="372">
        <v>0</v>
      </c>
      <c r="G615" s="372">
        <v>0</v>
      </c>
      <c r="H615" s="372">
        <v>0</v>
      </c>
      <c r="I615" s="372">
        <v>0</v>
      </c>
      <c r="J615" s="372">
        <v>0</v>
      </c>
      <c r="K615" s="372">
        <v>0</v>
      </c>
      <c r="L615" s="372">
        <v>0</v>
      </c>
      <c r="M615" s="372">
        <v>0</v>
      </c>
      <c r="N615" s="372">
        <v>0</v>
      </c>
      <c r="O615" s="372">
        <v>0</v>
      </c>
      <c r="P615" s="372">
        <v>0</v>
      </c>
      <c r="Q615" s="372">
        <v>0</v>
      </c>
      <c r="R615" s="372">
        <v>0</v>
      </c>
      <c r="S615" s="372">
        <v>0</v>
      </c>
    </row>
    <row r="616" spans="1:19" ht="12.75">
      <c r="A616" s="369" t="s">
        <v>2224</v>
      </c>
      <c r="B616" s="369" t="s">
        <v>2485</v>
      </c>
      <c r="C616" s="369" t="s">
        <v>951</v>
      </c>
      <c r="D616" s="372">
        <v>0</v>
      </c>
      <c r="E616" s="372">
        <v>0</v>
      </c>
      <c r="F616" s="372">
        <v>0</v>
      </c>
      <c r="G616" s="372">
        <v>0</v>
      </c>
      <c r="H616" s="372">
        <v>0</v>
      </c>
      <c r="I616" s="372">
        <v>0</v>
      </c>
      <c r="J616" s="372">
        <v>1</v>
      </c>
      <c r="K616" s="372">
        <v>0</v>
      </c>
      <c r="L616" s="372">
        <v>0</v>
      </c>
      <c r="M616" s="372">
        <v>0</v>
      </c>
      <c r="N616" s="372">
        <v>1</v>
      </c>
      <c r="O616" s="372">
        <v>0</v>
      </c>
      <c r="P616" s="372">
        <v>0</v>
      </c>
      <c r="Q616" s="372">
        <v>0</v>
      </c>
      <c r="R616" s="372">
        <v>0</v>
      </c>
      <c r="S616" s="372">
        <v>0</v>
      </c>
    </row>
    <row r="617" spans="1:19" ht="12.75">
      <c r="A617" s="369" t="s">
        <v>2225</v>
      </c>
      <c r="B617" s="369" t="s">
        <v>377</v>
      </c>
      <c r="C617" s="369" t="s">
        <v>952</v>
      </c>
      <c r="D617" s="372">
        <v>1</v>
      </c>
      <c r="E617" s="372">
        <v>1</v>
      </c>
      <c r="F617" s="372">
        <v>1</v>
      </c>
      <c r="G617" s="372">
        <v>1</v>
      </c>
      <c r="H617" s="372">
        <v>1</v>
      </c>
      <c r="I617" s="372">
        <v>1</v>
      </c>
      <c r="J617" s="372">
        <v>1</v>
      </c>
      <c r="K617" s="372">
        <v>1</v>
      </c>
      <c r="L617" s="372">
        <v>1</v>
      </c>
      <c r="M617" s="372">
        <v>1</v>
      </c>
      <c r="N617" s="372">
        <v>1</v>
      </c>
      <c r="O617" s="372">
        <v>1</v>
      </c>
      <c r="P617" s="372">
        <v>1</v>
      </c>
      <c r="Q617" s="372">
        <v>0</v>
      </c>
      <c r="R617" s="372">
        <v>1</v>
      </c>
      <c r="S617" s="372">
        <v>1</v>
      </c>
    </row>
    <row r="618" spans="1:19" ht="12.75">
      <c r="A618" s="369" t="s">
        <v>2036</v>
      </c>
      <c r="B618" s="369" t="s">
        <v>2035</v>
      </c>
      <c r="C618" s="369" t="s">
        <v>953</v>
      </c>
      <c r="D618" s="372">
        <v>0</v>
      </c>
      <c r="E618" s="372">
        <v>0</v>
      </c>
      <c r="F618" s="372">
        <v>0</v>
      </c>
      <c r="G618" s="372">
        <v>0</v>
      </c>
      <c r="H618" s="372">
        <v>0</v>
      </c>
      <c r="I618" s="372">
        <v>0</v>
      </c>
      <c r="J618" s="372">
        <v>0</v>
      </c>
      <c r="K618" s="372">
        <v>0</v>
      </c>
      <c r="L618" s="372">
        <v>0</v>
      </c>
      <c r="M618" s="372">
        <v>0</v>
      </c>
      <c r="N618" s="372">
        <v>0</v>
      </c>
      <c r="O618" s="372">
        <v>0</v>
      </c>
      <c r="P618" s="372">
        <v>0</v>
      </c>
      <c r="Q618" s="372">
        <v>0</v>
      </c>
      <c r="R618" s="372">
        <v>0</v>
      </c>
      <c r="S618" s="372">
        <v>0</v>
      </c>
    </row>
    <row r="619" spans="1:19" ht="12.75">
      <c r="A619" s="369" t="s">
        <v>2226</v>
      </c>
      <c r="B619" s="369" t="s">
        <v>378</v>
      </c>
      <c r="C619" s="369" t="s">
        <v>954</v>
      </c>
      <c r="D619" s="372">
        <v>0</v>
      </c>
      <c r="E619" s="372">
        <v>0</v>
      </c>
      <c r="F619" s="372">
        <v>0</v>
      </c>
      <c r="G619" s="372">
        <v>1</v>
      </c>
      <c r="H619" s="372">
        <v>1</v>
      </c>
      <c r="I619" s="372">
        <v>0</v>
      </c>
      <c r="J619" s="372">
        <v>0</v>
      </c>
      <c r="K619" s="372">
        <v>0</v>
      </c>
      <c r="L619" s="372">
        <v>0</v>
      </c>
      <c r="M619" s="372">
        <v>1</v>
      </c>
      <c r="N619" s="372">
        <v>1</v>
      </c>
      <c r="O619" s="372">
        <v>1</v>
      </c>
      <c r="P619" s="372">
        <v>0</v>
      </c>
      <c r="Q619" s="372">
        <v>1</v>
      </c>
      <c r="R619" s="372">
        <v>1</v>
      </c>
      <c r="S619" s="372">
        <v>1</v>
      </c>
    </row>
    <row r="620" spans="1:19" ht="12.75">
      <c r="A620" s="369" t="s">
        <v>2227</v>
      </c>
      <c r="B620" s="369" t="s">
        <v>107</v>
      </c>
      <c r="C620" s="369" t="s">
        <v>955</v>
      </c>
      <c r="D620" s="372">
        <v>0</v>
      </c>
      <c r="E620" s="372">
        <v>0</v>
      </c>
      <c r="F620" s="372">
        <v>0</v>
      </c>
      <c r="G620" s="372">
        <v>0</v>
      </c>
      <c r="H620" s="372">
        <v>0</v>
      </c>
      <c r="I620" s="372">
        <v>0</v>
      </c>
      <c r="J620" s="372">
        <v>0</v>
      </c>
      <c r="K620" s="372">
        <v>0</v>
      </c>
      <c r="L620" s="372">
        <v>0</v>
      </c>
      <c r="M620" s="372">
        <v>0</v>
      </c>
      <c r="N620" s="372">
        <v>0</v>
      </c>
      <c r="O620" s="372">
        <v>0</v>
      </c>
      <c r="P620" s="372">
        <v>0</v>
      </c>
      <c r="Q620" s="372">
        <v>0</v>
      </c>
      <c r="R620" s="372">
        <v>0</v>
      </c>
      <c r="S620" s="372">
        <v>0</v>
      </c>
    </row>
    <row r="621" spans="1:19" ht="12.75">
      <c r="A621" s="369" t="s">
        <v>2117</v>
      </c>
      <c r="B621" s="369" t="s">
        <v>2116</v>
      </c>
      <c r="C621" s="369" t="s">
        <v>956</v>
      </c>
      <c r="D621" s="372">
        <v>0</v>
      </c>
      <c r="E621" s="372">
        <v>0</v>
      </c>
      <c r="F621" s="372">
        <v>0</v>
      </c>
      <c r="G621" s="372">
        <v>0</v>
      </c>
      <c r="H621" s="372">
        <v>0</v>
      </c>
      <c r="I621" s="372">
        <v>0</v>
      </c>
      <c r="J621" s="372">
        <v>0</v>
      </c>
      <c r="K621" s="372">
        <v>0</v>
      </c>
      <c r="L621" s="372">
        <v>0</v>
      </c>
      <c r="M621" s="372">
        <v>0</v>
      </c>
      <c r="N621" s="372">
        <v>0</v>
      </c>
      <c r="O621" s="372">
        <v>0</v>
      </c>
      <c r="P621" s="372">
        <v>0</v>
      </c>
      <c r="Q621" s="372">
        <v>0</v>
      </c>
      <c r="R621" s="372">
        <v>0</v>
      </c>
      <c r="S621" s="372">
        <v>0</v>
      </c>
    </row>
    <row r="622" spans="1:19" ht="12.75">
      <c r="A622" s="369" t="s">
        <v>2085</v>
      </c>
      <c r="B622" s="369" t="s">
        <v>379</v>
      </c>
      <c r="C622" s="369" t="s">
        <v>957</v>
      </c>
      <c r="D622" s="372">
        <v>0</v>
      </c>
      <c r="E622" s="372">
        <v>0</v>
      </c>
      <c r="F622" s="372">
        <v>0</v>
      </c>
      <c r="G622" s="372">
        <v>0</v>
      </c>
      <c r="H622" s="372">
        <v>0</v>
      </c>
      <c r="I622" s="372">
        <v>0</v>
      </c>
      <c r="J622" s="372">
        <v>0</v>
      </c>
      <c r="K622" s="372">
        <v>1</v>
      </c>
      <c r="L622" s="372">
        <v>0</v>
      </c>
      <c r="M622" s="372">
        <v>0</v>
      </c>
      <c r="N622" s="372">
        <v>1</v>
      </c>
      <c r="O622" s="372">
        <v>0</v>
      </c>
      <c r="P622" s="372">
        <v>0</v>
      </c>
      <c r="Q622" s="372">
        <v>0</v>
      </c>
      <c r="R622" s="372">
        <v>0</v>
      </c>
      <c r="S622" s="372">
        <v>0</v>
      </c>
    </row>
    <row r="623" spans="1:19" ht="12.75">
      <c r="A623" s="369" t="s">
        <v>1377</v>
      </c>
      <c r="B623" s="369" t="s">
        <v>1784</v>
      </c>
      <c r="C623" s="369" t="s">
        <v>958</v>
      </c>
      <c r="D623" s="372">
        <v>0</v>
      </c>
      <c r="E623" s="372">
        <v>0</v>
      </c>
      <c r="F623" s="372">
        <v>0</v>
      </c>
      <c r="G623" s="372">
        <v>0</v>
      </c>
      <c r="H623" s="372">
        <v>0</v>
      </c>
      <c r="I623" s="372">
        <v>0</v>
      </c>
      <c r="J623" s="372">
        <v>0</v>
      </c>
      <c r="K623" s="372">
        <v>0</v>
      </c>
      <c r="L623" s="372">
        <v>0</v>
      </c>
      <c r="M623" s="372">
        <v>0</v>
      </c>
      <c r="N623" s="372">
        <v>0</v>
      </c>
      <c r="O623" s="372">
        <v>0</v>
      </c>
      <c r="P623" s="372">
        <v>0</v>
      </c>
      <c r="Q623" s="372">
        <v>0</v>
      </c>
      <c r="R623" s="372">
        <v>0</v>
      </c>
      <c r="S623" s="372">
        <v>0</v>
      </c>
    </row>
    <row r="624" spans="1:19" ht="12.75">
      <c r="A624" s="369" t="s">
        <v>1982</v>
      </c>
      <c r="B624" s="369" t="s">
        <v>1983</v>
      </c>
      <c r="C624" s="369"/>
      <c r="D624" s="372">
        <v>0</v>
      </c>
      <c r="E624" s="372">
        <v>0</v>
      </c>
      <c r="F624" s="372">
        <v>0</v>
      </c>
      <c r="G624" s="372">
        <v>0</v>
      </c>
      <c r="H624" s="372">
        <v>0</v>
      </c>
      <c r="I624" s="372">
        <v>0</v>
      </c>
      <c r="J624" s="372">
        <v>0</v>
      </c>
      <c r="K624" s="372">
        <v>0</v>
      </c>
      <c r="L624" s="372">
        <v>0</v>
      </c>
      <c r="M624" s="372">
        <v>0</v>
      </c>
      <c r="N624" s="372">
        <v>0</v>
      </c>
      <c r="O624" s="372">
        <v>0</v>
      </c>
      <c r="P624" s="372">
        <v>0</v>
      </c>
      <c r="Q624" s="372">
        <v>0</v>
      </c>
      <c r="R624" s="372">
        <v>0</v>
      </c>
      <c r="S624" s="372">
        <v>0</v>
      </c>
    </row>
    <row r="625" spans="1:19" ht="12.75">
      <c r="A625" s="369" t="s">
        <v>1378</v>
      </c>
      <c r="B625" s="369" t="s">
        <v>1785</v>
      </c>
      <c r="C625" s="369" t="s">
        <v>959</v>
      </c>
      <c r="D625" s="372">
        <v>1</v>
      </c>
      <c r="E625" s="372">
        <v>1</v>
      </c>
      <c r="F625" s="372">
        <v>1</v>
      </c>
      <c r="G625" s="372">
        <v>1</v>
      </c>
      <c r="H625" s="372">
        <v>1</v>
      </c>
      <c r="I625" s="372">
        <v>1</v>
      </c>
      <c r="J625" s="372">
        <v>1</v>
      </c>
      <c r="K625" s="372">
        <v>1</v>
      </c>
      <c r="L625" s="372">
        <v>1</v>
      </c>
      <c r="M625" s="372">
        <v>1</v>
      </c>
      <c r="N625" s="372">
        <v>1</v>
      </c>
      <c r="O625" s="372">
        <v>1</v>
      </c>
      <c r="P625" s="372">
        <v>1</v>
      </c>
      <c r="Q625" s="372">
        <v>0</v>
      </c>
      <c r="R625" s="372">
        <v>0</v>
      </c>
      <c r="S625" s="372">
        <v>1</v>
      </c>
    </row>
    <row r="626" spans="1:19" ht="12.75">
      <c r="A626" s="369" t="s">
        <v>374</v>
      </c>
      <c r="B626" s="369" t="s">
        <v>2118</v>
      </c>
      <c r="C626" s="369" t="s">
        <v>960</v>
      </c>
      <c r="D626" s="372">
        <v>0</v>
      </c>
      <c r="E626" s="372">
        <v>0</v>
      </c>
      <c r="F626" s="372">
        <v>0</v>
      </c>
      <c r="G626" s="372">
        <v>0</v>
      </c>
      <c r="H626" s="372">
        <v>0</v>
      </c>
      <c r="I626" s="372">
        <v>0</v>
      </c>
      <c r="J626" s="372">
        <v>0</v>
      </c>
      <c r="K626" s="372">
        <v>0</v>
      </c>
      <c r="L626" s="372">
        <v>0</v>
      </c>
      <c r="M626" s="372">
        <v>0</v>
      </c>
      <c r="N626" s="372">
        <v>0</v>
      </c>
      <c r="O626" s="372">
        <v>0</v>
      </c>
      <c r="P626" s="372">
        <v>0</v>
      </c>
      <c r="Q626" s="372">
        <v>0</v>
      </c>
      <c r="R626" s="372">
        <v>0</v>
      </c>
      <c r="S626" s="372">
        <v>0</v>
      </c>
    </row>
    <row r="627" spans="1:19" ht="12.75">
      <c r="A627" s="369" t="s">
        <v>1379</v>
      </c>
      <c r="B627" s="369" t="s">
        <v>1786</v>
      </c>
      <c r="C627" s="369" t="s">
        <v>961</v>
      </c>
      <c r="D627" s="372">
        <v>0</v>
      </c>
      <c r="E627" s="372">
        <v>0</v>
      </c>
      <c r="F627" s="372">
        <v>0</v>
      </c>
      <c r="G627" s="372">
        <v>0</v>
      </c>
      <c r="H627" s="372">
        <v>0</v>
      </c>
      <c r="I627" s="372">
        <v>0</v>
      </c>
      <c r="J627" s="372">
        <v>0</v>
      </c>
      <c r="K627" s="372">
        <v>1</v>
      </c>
      <c r="L627" s="372">
        <v>1</v>
      </c>
      <c r="M627" s="372">
        <v>0</v>
      </c>
      <c r="N627" s="372">
        <v>0</v>
      </c>
      <c r="O627" s="372">
        <v>0</v>
      </c>
      <c r="P627" s="372">
        <v>1</v>
      </c>
      <c r="Q627" s="372">
        <v>0</v>
      </c>
      <c r="R627" s="372">
        <v>0</v>
      </c>
      <c r="S627" s="372">
        <v>0</v>
      </c>
    </row>
    <row r="628" spans="1:19" ht="12.75">
      <c r="A628" s="369" t="s">
        <v>1380</v>
      </c>
      <c r="B628" s="369" t="s">
        <v>1787</v>
      </c>
      <c r="C628" s="369" t="s">
        <v>962</v>
      </c>
      <c r="D628" s="372">
        <v>0</v>
      </c>
      <c r="E628" s="372">
        <v>1</v>
      </c>
      <c r="F628" s="372">
        <v>0</v>
      </c>
      <c r="G628" s="372">
        <v>0</v>
      </c>
      <c r="H628" s="372">
        <v>0</v>
      </c>
      <c r="I628" s="372">
        <v>1</v>
      </c>
      <c r="J628" s="372">
        <v>1</v>
      </c>
      <c r="K628" s="372">
        <v>1</v>
      </c>
      <c r="L628" s="372">
        <v>1</v>
      </c>
      <c r="M628" s="372">
        <v>0</v>
      </c>
      <c r="N628" s="372">
        <v>0</v>
      </c>
      <c r="O628" s="372">
        <v>0</v>
      </c>
      <c r="P628" s="372">
        <v>1</v>
      </c>
      <c r="Q628" s="372">
        <v>1</v>
      </c>
      <c r="R628" s="372">
        <v>0</v>
      </c>
      <c r="S628" s="372">
        <v>1</v>
      </c>
    </row>
    <row r="629" spans="1:19" ht="12.75">
      <c r="A629" s="369" t="s">
        <v>1381</v>
      </c>
      <c r="B629" s="369" t="s">
        <v>1443</v>
      </c>
      <c r="C629" s="369" t="s">
        <v>963</v>
      </c>
      <c r="D629" s="372">
        <v>0</v>
      </c>
      <c r="E629" s="372">
        <v>0</v>
      </c>
      <c r="F629" s="372">
        <v>0</v>
      </c>
      <c r="G629" s="372">
        <v>0</v>
      </c>
      <c r="H629" s="372">
        <v>0</v>
      </c>
      <c r="I629" s="372">
        <v>0</v>
      </c>
      <c r="J629" s="372">
        <v>0</v>
      </c>
      <c r="K629" s="372">
        <v>0</v>
      </c>
      <c r="L629" s="372">
        <v>0</v>
      </c>
      <c r="M629" s="372">
        <v>0</v>
      </c>
      <c r="N629" s="372">
        <v>0</v>
      </c>
      <c r="O629" s="372">
        <v>0</v>
      </c>
      <c r="P629" s="372">
        <v>0</v>
      </c>
      <c r="Q629" s="372">
        <v>0</v>
      </c>
      <c r="R629" s="372">
        <v>0</v>
      </c>
      <c r="S629" s="372">
        <v>0</v>
      </c>
    </row>
    <row r="630" spans="1:19" ht="12.75">
      <c r="A630" s="369" t="s">
        <v>221</v>
      </c>
      <c r="B630" s="369" t="s">
        <v>1444</v>
      </c>
      <c r="C630" s="369" t="s">
        <v>964</v>
      </c>
      <c r="D630" s="372">
        <v>0</v>
      </c>
      <c r="E630" s="372">
        <v>0</v>
      </c>
      <c r="F630" s="372">
        <v>0</v>
      </c>
      <c r="G630" s="372">
        <v>0</v>
      </c>
      <c r="H630" s="372">
        <v>0</v>
      </c>
      <c r="I630" s="372">
        <v>0</v>
      </c>
      <c r="J630" s="372">
        <v>0</v>
      </c>
      <c r="K630" s="372">
        <v>0</v>
      </c>
      <c r="L630" s="372">
        <v>0</v>
      </c>
      <c r="M630" s="372">
        <v>0</v>
      </c>
      <c r="N630" s="372">
        <v>0</v>
      </c>
      <c r="O630" s="372">
        <v>0</v>
      </c>
      <c r="P630" s="372">
        <v>0</v>
      </c>
      <c r="Q630" s="372">
        <v>0</v>
      </c>
      <c r="R630" s="372">
        <v>0</v>
      </c>
      <c r="S630" s="372">
        <v>0</v>
      </c>
    </row>
    <row r="631" spans="1:19" ht="12.75">
      <c r="A631" s="369" t="s">
        <v>222</v>
      </c>
      <c r="B631" s="369" t="s">
        <v>1445</v>
      </c>
      <c r="C631" s="369" t="s">
        <v>965</v>
      </c>
      <c r="D631" s="372">
        <v>0</v>
      </c>
      <c r="E631" s="372">
        <v>0</v>
      </c>
      <c r="F631" s="372">
        <v>0</v>
      </c>
      <c r="G631" s="372">
        <v>0</v>
      </c>
      <c r="H631" s="372">
        <v>0</v>
      </c>
      <c r="I631" s="372">
        <v>0</v>
      </c>
      <c r="J631" s="372">
        <v>0</v>
      </c>
      <c r="K631" s="372">
        <v>0</v>
      </c>
      <c r="L631" s="372">
        <v>0</v>
      </c>
      <c r="M631" s="372">
        <v>0</v>
      </c>
      <c r="N631" s="372">
        <v>0</v>
      </c>
      <c r="O631" s="372">
        <v>0</v>
      </c>
      <c r="P631" s="372">
        <v>0</v>
      </c>
      <c r="Q631" s="372">
        <v>0</v>
      </c>
      <c r="R631" s="372">
        <v>0</v>
      </c>
      <c r="S631" s="372">
        <v>0</v>
      </c>
    </row>
    <row r="632" spans="1:19" ht="12.75">
      <c r="A632" s="369" t="s">
        <v>223</v>
      </c>
      <c r="B632" s="369" t="s">
        <v>2409</v>
      </c>
      <c r="C632" s="369" t="s">
        <v>966</v>
      </c>
      <c r="D632" s="372">
        <v>0</v>
      </c>
      <c r="E632" s="372">
        <v>0</v>
      </c>
      <c r="F632" s="372">
        <v>0</v>
      </c>
      <c r="G632" s="372">
        <v>0</v>
      </c>
      <c r="H632" s="372">
        <v>0</v>
      </c>
      <c r="I632" s="372">
        <v>0</v>
      </c>
      <c r="J632" s="372">
        <v>0</v>
      </c>
      <c r="K632" s="372">
        <v>0</v>
      </c>
      <c r="L632" s="372">
        <v>0</v>
      </c>
      <c r="M632" s="372">
        <v>0</v>
      </c>
      <c r="N632" s="372">
        <v>0</v>
      </c>
      <c r="O632" s="372">
        <v>0</v>
      </c>
      <c r="P632" s="372">
        <v>0</v>
      </c>
      <c r="Q632" s="372">
        <v>0</v>
      </c>
      <c r="R632" s="372">
        <v>0</v>
      </c>
      <c r="S632" s="372">
        <v>0</v>
      </c>
    </row>
    <row r="633" spans="1:19" ht="12.75">
      <c r="A633" s="369" t="s">
        <v>247</v>
      </c>
      <c r="B633" s="369" t="s">
        <v>375</v>
      </c>
      <c r="C633" s="369"/>
      <c r="D633" s="372">
        <v>0</v>
      </c>
      <c r="E633" s="372">
        <v>0</v>
      </c>
      <c r="F633" s="372">
        <v>0</v>
      </c>
      <c r="G633" s="372">
        <v>0</v>
      </c>
      <c r="H633" s="372">
        <v>0</v>
      </c>
      <c r="I633" s="372">
        <v>0</v>
      </c>
      <c r="J633" s="372">
        <v>0</v>
      </c>
      <c r="K633" s="372">
        <v>0</v>
      </c>
      <c r="L633" s="372">
        <v>0</v>
      </c>
      <c r="M633" s="372">
        <v>0</v>
      </c>
      <c r="N633" s="372">
        <v>0</v>
      </c>
      <c r="O633" s="372">
        <v>0</v>
      </c>
      <c r="P633" s="372">
        <v>0</v>
      </c>
      <c r="Q633" s="372">
        <v>0</v>
      </c>
      <c r="R633" s="372">
        <v>0</v>
      </c>
      <c r="S633" s="372">
        <v>0</v>
      </c>
    </row>
    <row r="634" spans="1:19" ht="12.75">
      <c r="A634" s="369" t="s">
        <v>224</v>
      </c>
      <c r="B634" s="369" t="s">
        <v>1788</v>
      </c>
      <c r="C634" s="369" t="s">
        <v>967</v>
      </c>
      <c r="D634" s="372">
        <v>1</v>
      </c>
      <c r="E634" s="372">
        <v>0</v>
      </c>
      <c r="F634" s="372">
        <v>1</v>
      </c>
      <c r="G634" s="372">
        <v>0</v>
      </c>
      <c r="H634" s="372">
        <v>0</v>
      </c>
      <c r="I634" s="372">
        <v>0</v>
      </c>
      <c r="J634" s="372">
        <v>0</v>
      </c>
      <c r="K634" s="372">
        <v>1</v>
      </c>
      <c r="L634" s="372">
        <v>0</v>
      </c>
      <c r="M634" s="372">
        <v>0</v>
      </c>
      <c r="N634" s="372">
        <v>0</v>
      </c>
      <c r="O634" s="372">
        <v>0</v>
      </c>
      <c r="P634" s="372">
        <v>0</v>
      </c>
      <c r="Q634" s="372">
        <v>0</v>
      </c>
      <c r="R634" s="372">
        <v>0</v>
      </c>
      <c r="S634" s="372">
        <v>1</v>
      </c>
    </row>
    <row r="635" spans="1:19" ht="12.75">
      <c r="A635" s="369" t="s">
        <v>1316</v>
      </c>
      <c r="B635" s="369" t="s">
        <v>1789</v>
      </c>
      <c r="C635" s="369" t="s">
        <v>968</v>
      </c>
      <c r="D635" s="372">
        <v>1</v>
      </c>
      <c r="E635" s="372">
        <v>1</v>
      </c>
      <c r="F635" s="372">
        <v>0</v>
      </c>
      <c r="G635" s="372">
        <v>0</v>
      </c>
      <c r="H635" s="372">
        <v>0</v>
      </c>
      <c r="I635" s="372">
        <v>1</v>
      </c>
      <c r="J635" s="372">
        <v>0</v>
      </c>
      <c r="K635" s="372">
        <v>0</v>
      </c>
      <c r="L635" s="372">
        <v>1</v>
      </c>
      <c r="M635" s="372">
        <v>0</v>
      </c>
      <c r="N635" s="372">
        <v>0</v>
      </c>
      <c r="O635" s="372">
        <v>0</v>
      </c>
      <c r="P635" s="372">
        <v>1</v>
      </c>
      <c r="Q635" s="372">
        <v>0</v>
      </c>
      <c r="R635" s="372">
        <v>0</v>
      </c>
      <c r="S635" s="372">
        <v>1</v>
      </c>
    </row>
    <row r="636" spans="1:19" ht="12.75">
      <c r="A636" s="369" t="s">
        <v>2275</v>
      </c>
      <c r="B636" s="369" t="s">
        <v>248</v>
      </c>
      <c r="C636" s="369"/>
      <c r="D636" s="372">
        <v>0</v>
      </c>
      <c r="E636" s="372">
        <v>0</v>
      </c>
      <c r="F636" s="372">
        <v>0</v>
      </c>
      <c r="G636" s="372">
        <v>0</v>
      </c>
      <c r="H636" s="372">
        <v>0</v>
      </c>
      <c r="I636" s="372">
        <v>0</v>
      </c>
      <c r="J636" s="372">
        <v>0</v>
      </c>
      <c r="K636" s="372">
        <v>0</v>
      </c>
      <c r="L636" s="372">
        <v>0</v>
      </c>
      <c r="M636" s="372">
        <v>0</v>
      </c>
      <c r="N636" s="372">
        <v>0</v>
      </c>
      <c r="O636" s="372">
        <v>0</v>
      </c>
      <c r="P636" s="372">
        <v>0</v>
      </c>
      <c r="Q636" s="372">
        <v>0</v>
      </c>
      <c r="R636" s="372">
        <v>0</v>
      </c>
      <c r="S636" s="372">
        <v>0</v>
      </c>
    </row>
    <row r="637" spans="1:19" ht="12.75">
      <c r="A637" s="369" t="s">
        <v>1317</v>
      </c>
      <c r="B637" s="369" t="s">
        <v>1790</v>
      </c>
      <c r="C637" s="369" t="s">
        <v>969</v>
      </c>
      <c r="D637" s="372">
        <v>1</v>
      </c>
      <c r="E637" s="372">
        <v>1</v>
      </c>
      <c r="F637" s="372">
        <v>0</v>
      </c>
      <c r="G637" s="372">
        <v>1</v>
      </c>
      <c r="H637" s="372">
        <v>1</v>
      </c>
      <c r="I637" s="372">
        <v>1</v>
      </c>
      <c r="J637" s="372">
        <v>1</v>
      </c>
      <c r="K637" s="372">
        <v>1</v>
      </c>
      <c r="L637" s="372">
        <v>1</v>
      </c>
      <c r="M637" s="372">
        <v>1</v>
      </c>
      <c r="N637" s="372">
        <v>0</v>
      </c>
      <c r="O637" s="372">
        <v>1</v>
      </c>
      <c r="P637" s="372">
        <v>1</v>
      </c>
      <c r="Q637" s="372">
        <v>0</v>
      </c>
      <c r="R637" s="372">
        <v>1</v>
      </c>
      <c r="S637" s="372">
        <v>1</v>
      </c>
    </row>
    <row r="638" spans="1:19" ht="12.75">
      <c r="A638" s="369" t="s">
        <v>1318</v>
      </c>
      <c r="B638" s="369" t="s">
        <v>1697</v>
      </c>
      <c r="C638" s="369" t="s">
        <v>970</v>
      </c>
      <c r="D638" s="372">
        <v>0</v>
      </c>
      <c r="E638" s="372">
        <v>0</v>
      </c>
      <c r="F638" s="372">
        <v>0</v>
      </c>
      <c r="G638" s="372">
        <v>0</v>
      </c>
      <c r="H638" s="372">
        <v>0</v>
      </c>
      <c r="I638" s="372">
        <v>0</v>
      </c>
      <c r="J638" s="372">
        <v>0</v>
      </c>
      <c r="K638" s="372">
        <v>1</v>
      </c>
      <c r="L638" s="372">
        <v>0</v>
      </c>
      <c r="M638" s="372">
        <v>0</v>
      </c>
      <c r="N638" s="372">
        <v>0</v>
      </c>
      <c r="O638" s="372">
        <v>0</v>
      </c>
      <c r="P638" s="372">
        <v>0</v>
      </c>
      <c r="Q638" s="372">
        <v>0</v>
      </c>
      <c r="R638" s="372">
        <v>0</v>
      </c>
      <c r="S638" s="372">
        <v>0</v>
      </c>
    </row>
    <row r="639" spans="1:19" ht="12.75">
      <c r="A639" s="369" t="s">
        <v>2277</v>
      </c>
      <c r="B639" s="369" t="s">
        <v>2276</v>
      </c>
      <c r="C639" s="369" t="s">
        <v>971</v>
      </c>
      <c r="D639" s="372">
        <v>0</v>
      </c>
      <c r="E639" s="372">
        <v>0</v>
      </c>
      <c r="F639" s="372">
        <v>0</v>
      </c>
      <c r="G639" s="372">
        <v>0</v>
      </c>
      <c r="H639" s="372">
        <v>0</v>
      </c>
      <c r="I639" s="372">
        <v>0</v>
      </c>
      <c r="J639" s="372">
        <v>0</v>
      </c>
      <c r="K639" s="372">
        <v>0</v>
      </c>
      <c r="L639" s="372">
        <v>0</v>
      </c>
      <c r="M639" s="372">
        <v>0</v>
      </c>
      <c r="N639" s="372">
        <v>0</v>
      </c>
      <c r="O639" s="372">
        <v>0</v>
      </c>
      <c r="P639" s="372">
        <v>0</v>
      </c>
      <c r="Q639" s="372">
        <v>0</v>
      </c>
      <c r="R639" s="372">
        <v>0</v>
      </c>
      <c r="S639" s="372">
        <v>0</v>
      </c>
    </row>
    <row r="640" spans="1:19" ht="12.75">
      <c r="A640" s="369" t="s">
        <v>1600</v>
      </c>
      <c r="B640" s="369" t="s">
        <v>2278</v>
      </c>
      <c r="C640" s="369" t="s">
        <v>972</v>
      </c>
      <c r="D640" s="372">
        <v>0</v>
      </c>
      <c r="E640" s="372">
        <v>0</v>
      </c>
      <c r="F640" s="372">
        <v>0</v>
      </c>
      <c r="G640" s="372">
        <v>0</v>
      </c>
      <c r="H640" s="372">
        <v>0</v>
      </c>
      <c r="I640" s="372">
        <v>0</v>
      </c>
      <c r="J640" s="372">
        <v>0</v>
      </c>
      <c r="K640" s="372">
        <v>0</v>
      </c>
      <c r="L640" s="372">
        <v>0</v>
      </c>
      <c r="M640" s="372">
        <v>0</v>
      </c>
      <c r="N640" s="372">
        <v>0</v>
      </c>
      <c r="O640" s="372">
        <v>0</v>
      </c>
      <c r="P640" s="372">
        <v>0</v>
      </c>
      <c r="Q640" s="372">
        <v>0</v>
      </c>
      <c r="R640" s="372">
        <v>0</v>
      </c>
      <c r="S640" s="372">
        <v>0</v>
      </c>
    </row>
    <row r="641" spans="1:19" ht="12.75">
      <c r="A641" s="369" t="s">
        <v>2256</v>
      </c>
      <c r="B641" s="369" t="s">
        <v>1601</v>
      </c>
      <c r="C641" s="369" t="s">
        <v>973</v>
      </c>
      <c r="D641" s="372">
        <v>0</v>
      </c>
      <c r="E641" s="372">
        <v>0</v>
      </c>
      <c r="F641" s="372">
        <v>0</v>
      </c>
      <c r="G641" s="372">
        <v>0</v>
      </c>
      <c r="H641" s="372">
        <v>0</v>
      </c>
      <c r="I641" s="372">
        <v>0</v>
      </c>
      <c r="J641" s="372">
        <v>0</v>
      </c>
      <c r="K641" s="372">
        <v>0</v>
      </c>
      <c r="L641" s="372">
        <v>0</v>
      </c>
      <c r="M641" s="372">
        <v>0</v>
      </c>
      <c r="N641" s="372">
        <v>0</v>
      </c>
      <c r="O641" s="372">
        <v>0</v>
      </c>
      <c r="P641" s="372">
        <v>0</v>
      </c>
      <c r="Q641" s="372">
        <v>0</v>
      </c>
      <c r="R641" s="372">
        <v>0</v>
      </c>
      <c r="S641" s="372">
        <v>0</v>
      </c>
    </row>
    <row r="642" spans="1:19" ht="12.75">
      <c r="A642" s="369" t="s">
        <v>1206</v>
      </c>
      <c r="B642" s="369" t="s">
        <v>1207</v>
      </c>
      <c r="C642" s="369" t="s">
        <v>974</v>
      </c>
      <c r="D642" s="372">
        <v>0</v>
      </c>
      <c r="E642" s="372">
        <v>0</v>
      </c>
      <c r="F642" s="372">
        <v>0</v>
      </c>
      <c r="G642" s="372">
        <v>0</v>
      </c>
      <c r="H642" s="372">
        <v>0</v>
      </c>
      <c r="I642" s="372">
        <v>0</v>
      </c>
      <c r="J642" s="372">
        <v>0</v>
      </c>
      <c r="K642" s="372">
        <v>0</v>
      </c>
      <c r="L642" s="372">
        <v>0</v>
      </c>
      <c r="M642" s="372">
        <v>0</v>
      </c>
      <c r="N642" s="372">
        <v>0</v>
      </c>
      <c r="O642" s="372">
        <v>0</v>
      </c>
      <c r="P642" s="372">
        <v>0</v>
      </c>
      <c r="Q642" s="372">
        <v>0</v>
      </c>
      <c r="R642" s="372">
        <v>0</v>
      </c>
      <c r="S642" s="372">
        <v>0</v>
      </c>
    </row>
    <row r="643" spans="1:19" ht="12.75">
      <c r="A643" s="369" t="s">
        <v>1319</v>
      </c>
      <c r="B643" s="369" t="s">
        <v>1698</v>
      </c>
      <c r="C643" s="369" t="s">
        <v>975</v>
      </c>
      <c r="D643" s="372">
        <v>0</v>
      </c>
      <c r="E643" s="372">
        <v>1</v>
      </c>
      <c r="F643" s="372">
        <v>0</v>
      </c>
      <c r="G643" s="372">
        <v>0</v>
      </c>
      <c r="H643" s="372">
        <v>0</v>
      </c>
      <c r="I643" s="372">
        <v>0</v>
      </c>
      <c r="J643" s="372">
        <v>0</v>
      </c>
      <c r="K643" s="372">
        <v>0</v>
      </c>
      <c r="L643" s="372">
        <v>0</v>
      </c>
      <c r="M643" s="372">
        <v>0</v>
      </c>
      <c r="N643" s="372">
        <v>0</v>
      </c>
      <c r="O643" s="372">
        <v>0</v>
      </c>
      <c r="P643" s="372">
        <v>0</v>
      </c>
      <c r="Q643" s="372">
        <v>0</v>
      </c>
      <c r="R643" s="372">
        <v>0</v>
      </c>
      <c r="S643" s="372">
        <v>0</v>
      </c>
    </row>
    <row r="644" spans="1:19" ht="12.75">
      <c r="A644" s="369" t="s">
        <v>1758</v>
      </c>
      <c r="B644" s="369" t="s">
        <v>1446</v>
      </c>
      <c r="C644" s="369" t="s">
        <v>976</v>
      </c>
      <c r="D644" s="372">
        <v>0</v>
      </c>
      <c r="E644" s="372">
        <v>0</v>
      </c>
      <c r="F644" s="372">
        <v>0</v>
      </c>
      <c r="G644" s="372">
        <v>0</v>
      </c>
      <c r="H644" s="372">
        <v>0</v>
      </c>
      <c r="I644" s="372">
        <v>0</v>
      </c>
      <c r="J644" s="372">
        <v>0</v>
      </c>
      <c r="K644" s="372">
        <v>0</v>
      </c>
      <c r="L644" s="372">
        <v>0</v>
      </c>
      <c r="M644" s="372">
        <v>0</v>
      </c>
      <c r="N644" s="372">
        <v>0</v>
      </c>
      <c r="O644" s="372">
        <v>0</v>
      </c>
      <c r="P644" s="372">
        <v>0</v>
      </c>
      <c r="Q644" s="372">
        <v>0</v>
      </c>
      <c r="R644" s="372">
        <v>0</v>
      </c>
      <c r="S644" s="372">
        <v>0</v>
      </c>
    </row>
    <row r="645" spans="1:19" ht="12.75">
      <c r="A645" s="369" t="s">
        <v>2258</v>
      </c>
      <c r="B645" s="369" t="s">
        <v>2257</v>
      </c>
      <c r="C645" s="369" t="s">
        <v>977</v>
      </c>
      <c r="D645" s="372">
        <v>0</v>
      </c>
      <c r="E645" s="372">
        <v>0</v>
      </c>
      <c r="F645" s="372">
        <v>0</v>
      </c>
      <c r="G645" s="372">
        <v>0</v>
      </c>
      <c r="H645" s="372">
        <v>0</v>
      </c>
      <c r="I645" s="372">
        <v>0</v>
      </c>
      <c r="J645" s="372">
        <v>0</v>
      </c>
      <c r="K645" s="372">
        <v>0</v>
      </c>
      <c r="L645" s="372">
        <v>0</v>
      </c>
      <c r="M645" s="372">
        <v>0</v>
      </c>
      <c r="N645" s="372">
        <v>0</v>
      </c>
      <c r="O645" s="372">
        <v>0</v>
      </c>
      <c r="P645" s="372">
        <v>0</v>
      </c>
      <c r="Q645" s="372">
        <v>0</v>
      </c>
      <c r="R645" s="372">
        <v>0</v>
      </c>
      <c r="S645" s="372">
        <v>0</v>
      </c>
    </row>
    <row r="646" spans="1:19" ht="12.75">
      <c r="A646" s="369" t="s">
        <v>1759</v>
      </c>
      <c r="B646" s="369" t="s">
        <v>1955</v>
      </c>
      <c r="C646" s="369" t="s">
        <v>978</v>
      </c>
      <c r="D646" s="372">
        <v>1</v>
      </c>
      <c r="E646" s="372">
        <v>1</v>
      </c>
      <c r="F646" s="372">
        <v>0</v>
      </c>
      <c r="G646" s="372">
        <v>1</v>
      </c>
      <c r="H646" s="372">
        <v>1</v>
      </c>
      <c r="I646" s="372">
        <v>1</v>
      </c>
      <c r="J646" s="372">
        <v>1</v>
      </c>
      <c r="K646" s="372">
        <v>1</v>
      </c>
      <c r="L646" s="372">
        <v>0</v>
      </c>
      <c r="M646" s="372">
        <v>1</v>
      </c>
      <c r="N646" s="372">
        <v>1</v>
      </c>
      <c r="O646" s="372">
        <v>1</v>
      </c>
      <c r="P646" s="372">
        <v>1</v>
      </c>
      <c r="Q646" s="372">
        <v>1</v>
      </c>
      <c r="R646" s="372">
        <v>1</v>
      </c>
      <c r="S646" s="372">
        <v>1</v>
      </c>
    </row>
    <row r="647" spans="1:19" ht="12.75">
      <c r="A647" s="369" t="s">
        <v>1760</v>
      </c>
      <c r="B647" s="369" t="s">
        <v>1956</v>
      </c>
      <c r="C647" s="369" t="s">
        <v>979</v>
      </c>
      <c r="D647" s="372">
        <v>1</v>
      </c>
      <c r="E647" s="372">
        <v>1</v>
      </c>
      <c r="F647" s="372">
        <v>1</v>
      </c>
      <c r="G647" s="372">
        <v>0</v>
      </c>
      <c r="H647" s="372">
        <v>0</v>
      </c>
      <c r="I647" s="372">
        <v>1</v>
      </c>
      <c r="J647" s="372">
        <v>1</v>
      </c>
      <c r="K647" s="372">
        <v>0</v>
      </c>
      <c r="L647" s="372">
        <v>1</v>
      </c>
      <c r="M647" s="372">
        <v>1</v>
      </c>
      <c r="N647" s="372">
        <v>1</v>
      </c>
      <c r="O647" s="372">
        <v>0</v>
      </c>
      <c r="P647" s="372">
        <v>1</v>
      </c>
      <c r="Q647" s="372">
        <v>1</v>
      </c>
      <c r="R647" s="372">
        <v>1</v>
      </c>
      <c r="S647" s="372">
        <v>1</v>
      </c>
    </row>
    <row r="648" spans="1:19" ht="12.75">
      <c r="A648" s="369" t="s">
        <v>2260</v>
      </c>
      <c r="B648" s="369" t="s">
        <v>2259</v>
      </c>
      <c r="C648" s="369" t="s">
        <v>980</v>
      </c>
      <c r="D648" s="372">
        <v>0</v>
      </c>
      <c r="E648" s="372">
        <v>0</v>
      </c>
      <c r="F648" s="372">
        <v>0</v>
      </c>
      <c r="G648" s="372">
        <v>0</v>
      </c>
      <c r="H648" s="372">
        <v>0</v>
      </c>
      <c r="I648" s="372">
        <v>0</v>
      </c>
      <c r="J648" s="372">
        <v>0</v>
      </c>
      <c r="K648" s="372">
        <v>0</v>
      </c>
      <c r="L648" s="372">
        <v>0</v>
      </c>
      <c r="M648" s="372">
        <v>0</v>
      </c>
      <c r="N648" s="372">
        <v>0</v>
      </c>
      <c r="O648" s="372">
        <v>0</v>
      </c>
      <c r="P648" s="372">
        <v>0</v>
      </c>
      <c r="Q648" s="372">
        <v>0</v>
      </c>
      <c r="R648" s="372">
        <v>0</v>
      </c>
      <c r="S648" s="372">
        <v>0</v>
      </c>
    </row>
    <row r="649" spans="1:19" ht="12.75">
      <c r="A649" s="369" t="s">
        <v>2064</v>
      </c>
      <c r="B649" s="369" t="s">
        <v>2261</v>
      </c>
      <c r="C649" s="369" t="s">
        <v>981</v>
      </c>
      <c r="D649" s="372">
        <v>0</v>
      </c>
      <c r="E649" s="372">
        <v>0</v>
      </c>
      <c r="F649" s="372">
        <v>0</v>
      </c>
      <c r="G649" s="372">
        <v>0</v>
      </c>
      <c r="H649" s="372">
        <v>0</v>
      </c>
      <c r="I649" s="372">
        <v>0</v>
      </c>
      <c r="J649" s="372">
        <v>0</v>
      </c>
      <c r="K649" s="372">
        <v>0</v>
      </c>
      <c r="L649" s="372">
        <v>0</v>
      </c>
      <c r="M649" s="372">
        <v>0</v>
      </c>
      <c r="N649" s="372">
        <v>0</v>
      </c>
      <c r="O649" s="372">
        <v>0</v>
      </c>
      <c r="P649" s="372">
        <v>0</v>
      </c>
      <c r="Q649" s="372">
        <v>0</v>
      </c>
      <c r="R649" s="372">
        <v>0</v>
      </c>
      <c r="S649" s="372">
        <v>0</v>
      </c>
    </row>
    <row r="650" spans="1:19" ht="12.75">
      <c r="A650" s="369" t="s">
        <v>32</v>
      </c>
      <c r="B650" s="369" t="s">
        <v>31</v>
      </c>
      <c r="C650" s="369" t="s">
        <v>982</v>
      </c>
      <c r="D650" s="372">
        <v>0</v>
      </c>
      <c r="E650" s="372">
        <v>0</v>
      </c>
      <c r="F650" s="372">
        <v>0</v>
      </c>
      <c r="G650" s="372">
        <v>0</v>
      </c>
      <c r="H650" s="372">
        <v>0</v>
      </c>
      <c r="I650" s="372">
        <v>0</v>
      </c>
      <c r="J650" s="372">
        <v>0</v>
      </c>
      <c r="K650" s="372">
        <v>0</v>
      </c>
      <c r="L650" s="372">
        <v>0</v>
      </c>
      <c r="M650" s="372">
        <v>0</v>
      </c>
      <c r="N650" s="372">
        <v>0</v>
      </c>
      <c r="O650" s="372">
        <v>0</v>
      </c>
      <c r="P650" s="372">
        <v>0</v>
      </c>
      <c r="Q650" s="372">
        <v>0</v>
      </c>
      <c r="R650" s="372">
        <v>0</v>
      </c>
      <c r="S650" s="372">
        <v>0</v>
      </c>
    </row>
    <row r="651" spans="1:19" ht="12.75">
      <c r="A651" s="369" t="s">
        <v>315</v>
      </c>
      <c r="B651" s="369" t="s">
        <v>33</v>
      </c>
      <c r="C651" s="369" t="s">
        <v>983</v>
      </c>
      <c r="D651" s="372">
        <v>0</v>
      </c>
      <c r="E651" s="372">
        <v>0</v>
      </c>
      <c r="F651" s="372">
        <v>0</v>
      </c>
      <c r="G651" s="372">
        <v>0</v>
      </c>
      <c r="H651" s="372">
        <v>0</v>
      </c>
      <c r="I651" s="372">
        <v>0</v>
      </c>
      <c r="J651" s="372">
        <v>0</v>
      </c>
      <c r="K651" s="372">
        <v>0</v>
      </c>
      <c r="L651" s="372">
        <v>0</v>
      </c>
      <c r="M651" s="372">
        <v>0</v>
      </c>
      <c r="N651" s="372">
        <v>0</v>
      </c>
      <c r="O651" s="372">
        <v>0</v>
      </c>
      <c r="P651" s="372">
        <v>0</v>
      </c>
      <c r="Q651" s="372">
        <v>0</v>
      </c>
      <c r="R651" s="372">
        <v>0</v>
      </c>
      <c r="S651" s="372">
        <v>0</v>
      </c>
    </row>
    <row r="652" spans="1:19" ht="12.75">
      <c r="A652" s="369" t="s">
        <v>1951</v>
      </c>
      <c r="B652" s="369" t="s">
        <v>1957</v>
      </c>
      <c r="C652" s="369" t="s">
        <v>984</v>
      </c>
      <c r="D652" s="372">
        <v>0</v>
      </c>
      <c r="E652" s="372">
        <v>1</v>
      </c>
      <c r="F652" s="372">
        <v>0</v>
      </c>
      <c r="G652" s="372">
        <v>1</v>
      </c>
      <c r="H652" s="372">
        <v>1</v>
      </c>
      <c r="I652" s="372">
        <v>1</v>
      </c>
      <c r="J652" s="372">
        <v>1</v>
      </c>
      <c r="K652" s="372">
        <v>1</v>
      </c>
      <c r="L652" s="372">
        <v>0</v>
      </c>
      <c r="M652" s="372">
        <v>1</v>
      </c>
      <c r="N652" s="372">
        <v>1</v>
      </c>
      <c r="O652" s="372">
        <v>1</v>
      </c>
      <c r="P652" s="372">
        <v>0</v>
      </c>
      <c r="Q652" s="372">
        <v>1</v>
      </c>
      <c r="R652" s="372">
        <v>1</v>
      </c>
      <c r="S652" s="372">
        <v>0</v>
      </c>
    </row>
    <row r="653" spans="1:19" ht="12.75">
      <c r="A653" s="369" t="s">
        <v>1226</v>
      </c>
      <c r="B653" s="369" t="s">
        <v>316</v>
      </c>
      <c r="C653" s="369" t="s">
        <v>985</v>
      </c>
      <c r="D653" s="372">
        <v>0</v>
      </c>
      <c r="E653" s="372">
        <v>0</v>
      </c>
      <c r="F653" s="372">
        <v>0</v>
      </c>
      <c r="G653" s="372">
        <v>0</v>
      </c>
      <c r="H653" s="372">
        <v>0</v>
      </c>
      <c r="I653" s="372">
        <v>0</v>
      </c>
      <c r="J653" s="372">
        <v>0</v>
      </c>
      <c r="K653" s="372">
        <v>0</v>
      </c>
      <c r="L653" s="372">
        <v>0</v>
      </c>
      <c r="M653" s="372">
        <v>0</v>
      </c>
      <c r="N653" s="372">
        <v>0</v>
      </c>
      <c r="O653" s="372">
        <v>0</v>
      </c>
      <c r="P653" s="372">
        <v>0</v>
      </c>
      <c r="Q653" s="372">
        <v>0</v>
      </c>
      <c r="R653" s="372">
        <v>0</v>
      </c>
      <c r="S653" s="372">
        <v>0</v>
      </c>
    </row>
    <row r="654" spans="1:19" ht="12.75">
      <c r="A654" s="369" t="s">
        <v>259</v>
      </c>
      <c r="B654" s="369" t="s">
        <v>1292</v>
      </c>
      <c r="C654" s="369" t="s">
        <v>986</v>
      </c>
      <c r="D654" s="372">
        <v>0</v>
      </c>
      <c r="E654" s="372">
        <v>0</v>
      </c>
      <c r="F654" s="372">
        <v>0</v>
      </c>
      <c r="G654" s="372">
        <v>0</v>
      </c>
      <c r="H654" s="372">
        <v>0</v>
      </c>
      <c r="I654" s="372">
        <v>0</v>
      </c>
      <c r="J654" s="372">
        <v>0</v>
      </c>
      <c r="K654" s="372">
        <v>0</v>
      </c>
      <c r="L654" s="372">
        <v>0</v>
      </c>
      <c r="M654" s="372">
        <v>0</v>
      </c>
      <c r="N654" s="372">
        <v>0</v>
      </c>
      <c r="O654" s="372">
        <v>0</v>
      </c>
      <c r="P654" s="372">
        <v>0</v>
      </c>
      <c r="Q654" s="372">
        <v>0</v>
      </c>
      <c r="R654" s="372">
        <v>0</v>
      </c>
      <c r="S654" s="372">
        <v>0</v>
      </c>
    </row>
    <row r="655" spans="1:19" ht="12.75">
      <c r="A655" s="369" t="s">
        <v>2114</v>
      </c>
      <c r="B655" s="369" t="s">
        <v>262</v>
      </c>
      <c r="C655" s="369"/>
      <c r="D655" s="372">
        <v>0</v>
      </c>
      <c r="E655" s="372">
        <v>0</v>
      </c>
      <c r="F655" s="372">
        <v>0</v>
      </c>
      <c r="G655" s="372">
        <v>0</v>
      </c>
      <c r="H655" s="372">
        <v>0</v>
      </c>
      <c r="I655" s="372">
        <v>0</v>
      </c>
      <c r="J655" s="372">
        <v>0</v>
      </c>
      <c r="K655" s="372">
        <v>0</v>
      </c>
      <c r="L655" s="372">
        <v>0</v>
      </c>
      <c r="M655" s="372">
        <v>0</v>
      </c>
      <c r="N655" s="372">
        <v>0</v>
      </c>
      <c r="O655" s="372">
        <v>0</v>
      </c>
      <c r="P655" s="372">
        <v>0</v>
      </c>
      <c r="Q655" s="372">
        <v>0</v>
      </c>
      <c r="R655" s="372">
        <v>0</v>
      </c>
      <c r="S655" s="372">
        <v>0</v>
      </c>
    </row>
    <row r="656" spans="1:19" ht="12.75">
      <c r="A656" s="369" t="s">
        <v>1893</v>
      </c>
      <c r="B656" s="369" t="s">
        <v>2289</v>
      </c>
      <c r="C656" s="369" t="s">
        <v>987</v>
      </c>
      <c r="D656" s="372">
        <v>1</v>
      </c>
      <c r="E656" s="372">
        <v>1</v>
      </c>
      <c r="F656" s="372">
        <v>0</v>
      </c>
      <c r="G656" s="372">
        <v>1</v>
      </c>
      <c r="H656" s="372">
        <v>1</v>
      </c>
      <c r="I656" s="372">
        <v>0</v>
      </c>
      <c r="J656" s="372">
        <v>0</v>
      </c>
      <c r="K656" s="372">
        <v>1</v>
      </c>
      <c r="L656" s="372">
        <v>0</v>
      </c>
      <c r="M656" s="372">
        <v>0</v>
      </c>
      <c r="N656" s="372">
        <v>0</v>
      </c>
      <c r="O656" s="372">
        <v>1</v>
      </c>
      <c r="P656" s="372">
        <v>0</v>
      </c>
      <c r="Q656" s="372">
        <v>0</v>
      </c>
      <c r="R656" s="372">
        <v>0</v>
      </c>
      <c r="S656" s="372">
        <v>0</v>
      </c>
    </row>
    <row r="657" spans="1:19" ht="12.75">
      <c r="A657" s="369" t="s">
        <v>338</v>
      </c>
      <c r="B657" s="369" t="s">
        <v>1958</v>
      </c>
      <c r="C657" s="369" t="s">
        <v>988</v>
      </c>
      <c r="D657" s="372">
        <v>0</v>
      </c>
      <c r="E657" s="372">
        <v>0</v>
      </c>
      <c r="F657" s="372">
        <v>0</v>
      </c>
      <c r="G657" s="372">
        <v>1</v>
      </c>
      <c r="H657" s="372">
        <v>1</v>
      </c>
      <c r="I657" s="372">
        <v>0</v>
      </c>
      <c r="J657" s="372">
        <v>0</v>
      </c>
      <c r="K657" s="372">
        <v>0</v>
      </c>
      <c r="L657" s="372">
        <v>0</v>
      </c>
      <c r="M657" s="372">
        <v>0</v>
      </c>
      <c r="N657" s="372">
        <v>0</v>
      </c>
      <c r="O657" s="372">
        <v>1</v>
      </c>
      <c r="P657" s="372">
        <v>0</v>
      </c>
      <c r="Q657" s="372">
        <v>0</v>
      </c>
      <c r="R657" s="372">
        <v>0</v>
      </c>
      <c r="S657" s="372">
        <v>0</v>
      </c>
    </row>
    <row r="658" spans="1:19" ht="12.75">
      <c r="A658" s="369" t="s">
        <v>261</v>
      </c>
      <c r="B658" s="369" t="s">
        <v>260</v>
      </c>
      <c r="C658" s="369" t="s">
        <v>989</v>
      </c>
      <c r="D658" s="372">
        <v>0</v>
      </c>
      <c r="E658" s="372">
        <v>0</v>
      </c>
      <c r="F658" s="372">
        <v>0</v>
      </c>
      <c r="G658" s="372">
        <v>0</v>
      </c>
      <c r="H658" s="372">
        <v>0</v>
      </c>
      <c r="I658" s="372">
        <v>0</v>
      </c>
      <c r="J658" s="372">
        <v>0</v>
      </c>
      <c r="K658" s="372">
        <v>0</v>
      </c>
      <c r="L658" s="372">
        <v>0</v>
      </c>
      <c r="M658" s="372">
        <v>0</v>
      </c>
      <c r="N658" s="372">
        <v>0</v>
      </c>
      <c r="O658" s="372">
        <v>0</v>
      </c>
      <c r="P658" s="372">
        <v>0</v>
      </c>
      <c r="Q658" s="372">
        <v>0</v>
      </c>
      <c r="R658" s="372">
        <v>0</v>
      </c>
      <c r="S658" s="372">
        <v>0</v>
      </c>
    </row>
    <row r="659" spans="1:19" ht="12.75">
      <c r="A659" s="369" t="s">
        <v>1894</v>
      </c>
      <c r="B659" s="369" t="s">
        <v>1959</v>
      </c>
      <c r="C659" s="369" t="s">
        <v>990</v>
      </c>
      <c r="D659" s="372">
        <v>0</v>
      </c>
      <c r="E659" s="372">
        <v>1</v>
      </c>
      <c r="F659" s="372">
        <v>0</v>
      </c>
      <c r="G659" s="372">
        <v>0</v>
      </c>
      <c r="H659" s="372">
        <v>0</v>
      </c>
      <c r="I659" s="372">
        <v>0</v>
      </c>
      <c r="J659" s="372">
        <v>1</v>
      </c>
      <c r="K659" s="372">
        <v>0</v>
      </c>
      <c r="L659" s="372">
        <v>0</v>
      </c>
      <c r="M659" s="372">
        <v>0</v>
      </c>
      <c r="N659" s="372">
        <v>0</v>
      </c>
      <c r="O659" s="372">
        <v>0</v>
      </c>
      <c r="P659" s="372">
        <v>0</v>
      </c>
      <c r="Q659" s="372">
        <v>0</v>
      </c>
      <c r="R659" s="372">
        <v>0</v>
      </c>
      <c r="S659" s="372">
        <v>0</v>
      </c>
    </row>
    <row r="660" spans="1:19" ht="12.75">
      <c r="A660" s="369" t="s">
        <v>124</v>
      </c>
      <c r="B660" s="369" t="s">
        <v>1960</v>
      </c>
      <c r="C660" s="369" t="s">
        <v>991</v>
      </c>
      <c r="D660" s="372">
        <v>0</v>
      </c>
      <c r="E660" s="372">
        <v>0</v>
      </c>
      <c r="F660" s="372">
        <v>0</v>
      </c>
      <c r="G660" s="372">
        <v>0</v>
      </c>
      <c r="H660" s="372">
        <v>0</v>
      </c>
      <c r="I660" s="372">
        <v>0</v>
      </c>
      <c r="J660" s="372">
        <v>0</v>
      </c>
      <c r="K660" s="372">
        <v>0</v>
      </c>
      <c r="L660" s="372">
        <v>0</v>
      </c>
      <c r="M660" s="372">
        <v>0</v>
      </c>
      <c r="N660" s="372">
        <v>0</v>
      </c>
      <c r="O660" s="372">
        <v>0</v>
      </c>
      <c r="P660" s="372">
        <v>0</v>
      </c>
      <c r="Q660" s="372">
        <v>1</v>
      </c>
      <c r="R660" s="372">
        <v>0</v>
      </c>
      <c r="S660" s="372">
        <v>0</v>
      </c>
    </row>
    <row r="661" spans="1:19" ht="12.75">
      <c r="A661" s="369" t="s">
        <v>1228</v>
      </c>
      <c r="B661" s="369" t="s">
        <v>1227</v>
      </c>
      <c r="C661" s="369"/>
      <c r="D661" s="372">
        <v>0</v>
      </c>
      <c r="E661" s="372">
        <v>0</v>
      </c>
      <c r="F661" s="372">
        <v>0</v>
      </c>
      <c r="G661" s="372">
        <v>0</v>
      </c>
      <c r="H661" s="372">
        <v>0</v>
      </c>
      <c r="I661" s="372">
        <v>0</v>
      </c>
      <c r="J661" s="372">
        <v>0</v>
      </c>
      <c r="K661" s="372">
        <v>0</v>
      </c>
      <c r="L661" s="372">
        <v>0</v>
      </c>
      <c r="M661" s="372">
        <v>0</v>
      </c>
      <c r="N661" s="372">
        <v>0</v>
      </c>
      <c r="O661" s="372">
        <v>0</v>
      </c>
      <c r="P661" s="372">
        <v>0</v>
      </c>
      <c r="Q661" s="372">
        <v>0</v>
      </c>
      <c r="R661" s="372">
        <v>0</v>
      </c>
      <c r="S661" s="372">
        <v>0</v>
      </c>
    </row>
    <row r="662" spans="1:19" ht="12.75">
      <c r="A662" s="369" t="s">
        <v>1250</v>
      </c>
      <c r="B662" s="369" t="s">
        <v>1961</v>
      </c>
      <c r="C662" s="369" t="s">
        <v>992</v>
      </c>
      <c r="D662" s="372">
        <v>0</v>
      </c>
      <c r="E662" s="372">
        <v>0</v>
      </c>
      <c r="F662" s="372">
        <v>0</v>
      </c>
      <c r="G662" s="372">
        <v>1</v>
      </c>
      <c r="H662" s="372">
        <v>1</v>
      </c>
      <c r="I662" s="372">
        <v>1</v>
      </c>
      <c r="J662" s="372">
        <v>0</v>
      </c>
      <c r="K662" s="372">
        <v>0</v>
      </c>
      <c r="L662" s="372">
        <v>0</v>
      </c>
      <c r="M662" s="372">
        <v>0</v>
      </c>
      <c r="N662" s="372">
        <v>1</v>
      </c>
      <c r="O662" s="372">
        <v>1</v>
      </c>
      <c r="P662" s="372">
        <v>1</v>
      </c>
      <c r="Q662" s="372">
        <v>0</v>
      </c>
      <c r="R662" s="372">
        <v>0</v>
      </c>
      <c r="S662" s="372">
        <v>1</v>
      </c>
    </row>
    <row r="663" spans="1:19" ht="12.75">
      <c r="A663" s="369" t="s">
        <v>1230</v>
      </c>
      <c r="B663" s="369" t="s">
        <v>1229</v>
      </c>
      <c r="C663" s="369" t="s">
        <v>993</v>
      </c>
      <c r="D663" s="372">
        <v>0</v>
      </c>
      <c r="E663" s="372">
        <v>0</v>
      </c>
      <c r="F663" s="372">
        <v>0</v>
      </c>
      <c r="G663" s="372">
        <v>0</v>
      </c>
      <c r="H663" s="372">
        <v>0</v>
      </c>
      <c r="I663" s="372">
        <v>0</v>
      </c>
      <c r="J663" s="372">
        <v>0</v>
      </c>
      <c r="K663" s="372">
        <v>0</v>
      </c>
      <c r="L663" s="372">
        <v>0</v>
      </c>
      <c r="M663" s="372">
        <v>0</v>
      </c>
      <c r="N663" s="372">
        <v>0</v>
      </c>
      <c r="O663" s="372">
        <v>0</v>
      </c>
      <c r="P663" s="372">
        <v>0</v>
      </c>
      <c r="Q663" s="372">
        <v>0</v>
      </c>
      <c r="R663" s="372">
        <v>0</v>
      </c>
      <c r="S663" s="372">
        <v>0</v>
      </c>
    </row>
    <row r="664" spans="1:19" ht="12.75">
      <c r="A664" s="369" t="s">
        <v>329</v>
      </c>
      <c r="B664" s="369" t="s">
        <v>1231</v>
      </c>
      <c r="C664" s="369" t="s">
        <v>994</v>
      </c>
      <c r="D664" s="372">
        <v>0</v>
      </c>
      <c r="E664" s="372">
        <v>0</v>
      </c>
      <c r="F664" s="372">
        <v>0</v>
      </c>
      <c r="G664" s="372">
        <v>0</v>
      </c>
      <c r="H664" s="372">
        <v>0</v>
      </c>
      <c r="I664" s="372">
        <v>0</v>
      </c>
      <c r="J664" s="372">
        <v>0</v>
      </c>
      <c r="K664" s="372">
        <v>0</v>
      </c>
      <c r="L664" s="372">
        <v>0</v>
      </c>
      <c r="M664" s="372">
        <v>0</v>
      </c>
      <c r="N664" s="372">
        <v>0</v>
      </c>
      <c r="O664" s="372">
        <v>0</v>
      </c>
      <c r="P664" s="372">
        <v>0</v>
      </c>
      <c r="Q664" s="372">
        <v>0</v>
      </c>
      <c r="R664" s="372">
        <v>0</v>
      </c>
      <c r="S664" s="372">
        <v>0</v>
      </c>
    </row>
    <row r="665" spans="1:19" ht="12.75">
      <c r="A665" s="369" t="s">
        <v>1984</v>
      </c>
      <c r="B665" s="369" t="s">
        <v>1124</v>
      </c>
      <c r="C665" s="369"/>
      <c r="D665" s="372">
        <v>0</v>
      </c>
      <c r="E665" s="372">
        <v>0</v>
      </c>
      <c r="F665" s="372">
        <v>0</v>
      </c>
      <c r="G665" s="372">
        <v>0</v>
      </c>
      <c r="H665" s="372">
        <v>0</v>
      </c>
      <c r="I665" s="372">
        <v>0</v>
      </c>
      <c r="J665" s="372">
        <v>0</v>
      </c>
      <c r="K665" s="372">
        <v>0</v>
      </c>
      <c r="L665" s="372">
        <v>0</v>
      </c>
      <c r="M665" s="372">
        <v>0</v>
      </c>
      <c r="N665" s="372">
        <v>0</v>
      </c>
      <c r="O665" s="372">
        <v>0</v>
      </c>
      <c r="P665" s="372">
        <v>0</v>
      </c>
      <c r="Q665" s="372">
        <v>0</v>
      </c>
      <c r="R665" s="372">
        <v>0</v>
      </c>
      <c r="S665" s="372">
        <v>0</v>
      </c>
    </row>
    <row r="666" spans="1:19" ht="12.75">
      <c r="A666" s="369" t="s">
        <v>1208</v>
      </c>
      <c r="B666" s="369" t="s">
        <v>1209</v>
      </c>
      <c r="C666" s="369"/>
      <c r="D666" s="372">
        <v>0</v>
      </c>
      <c r="E666" s="372">
        <v>0</v>
      </c>
      <c r="F666" s="372">
        <v>0</v>
      </c>
      <c r="G666" s="372">
        <v>0</v>
      </c>
      <c r="H666" s="372">
        <v>0</v>
      </c>
      <c r="I666" s="372">
        <v>0</v>
      </c>
      <c r="J666" s="372">
        <v>0</v>
      </c>
      <c r="K666" s="372">
        <v>0</v>
      </c>
      <c r="L666" s="372">
        <v>0</v>
      </c>
      <c r="M666" s="372">
        <v>0</v>
      </c>
      <c r="N666" s="372">
        <v>0</v>
      </c>
      <c r="O666" s="372">
        <v>0</v>
      </c>
      <c r="P666" s="372">
        <v>0</v>
      </c>
      <c r="Q666" s="372">
        <v>0</v>
      </c>
      <c r="R666" s="372">
        <v>0</v>
      </c>
      <c r="S666" s="372">
        <v>0</v>
      </c>
    </row>
    <row r="667" spans="1:19" ht="12.75">
      <c r="A667" s="369" t="s">
        <v>2452</v>
      </c>
      <c r="B667" s="369" t="s">
        <v>1754</v>
      </c>
      <c r="C667" s="369" t="s">
        <v>995</v>
      </c>
      <c r="D667" s="372">
        <v>0</v>
      </c>
      <c r="E667" s="372">
        <v>0</v>
      </c>
      <c r="F667" s="372">
        <v>0</v>
      </c>
      <c r="G667" s="372">
        <v>0</v>
      </c>
      <c r="H667" s="372">
        <v>0</v>
      </c>
      <c r="I667" s="372">
        <v>0</v>
      </c>
      <c r="J667" s="372">
        <v>0</v>
      </c>
      <c r="K667" s="372">
        <v>0</v>
      </c>
      <c r="L667" s="372">
        <v>0</v>
      </c>
      <c r="M667" s="372">
        <v>0</v>
      </c>
      <c r="N667" s="372">
        <v>0</v>
      </c>
      <c r="O667" s="372">
        <v>0</v>
      </c>
      <c r="P667" s="372">
        <v>0</v>
      </c>
      <c r="Q667" s="372">
        <v>0</v>
      </c>
      <c r="R667" s="372">
        <v>0</v>
      </c>
      <c r="S667" s="372">
        <v>0</v>
      </c>
    </row>
    <row r="668" spans="1:19" ht="12.75">
      <c r="A668" s="369" t="s">
        <v>331</v>
      </c>
      <c r="B668" s="369" t="s">
        <v>330</v>
      </c>
      <c r="C668" s="369"/>
      <c r="D668" s="372">
        <v>0</v>
      </c>
      <c r="E668" s="372">
        <v>0</v>
      </c>
      <c r="F668" s="372">
        <v>0</v>
      </c>
      <c r="G668" s="372">
        <v>0</v>
      </c>
      <c r="H668" s="372">
        <v>0</v>
      </c>
      <c r="I668" s="372">
        <v>0</v>
      </c>
      <c r="J668" s="372">
        <v>0</v>
      </c>
      <c r="K668" s="372">
        <v>0</v>
      </c>
      <c r="L668" s="372">
        <v>0</v>
      </c>
      <c r="M668" s="372">
        <v>0</v>
      </c>
      <c r="N668" s="372">
        <v>0</v>
      </c>
      <c r="O668" s="372">
        <v>0</v>
      </c>
      <c r="P668" s="372">
        <v>0</v>
      </c>
      <c r="Q668" s="372">
        <v>0</v>
      </c>
      <c r="R668" s="372">
        <v>0</v>
      </c>
      <c r="S668" s="372">
        <v>0</v>
      </c>
    </row>
    <row r="669" spans="1:19" ht="12.75">
      <c r="A669" s="369" t="s">
        <v>333</v>
      </c>
      <c r="B669" s="369" t="s">
        <v>332</v>
      </c>
      <c r="C669" s="369" t="s">
        <v>996</v>
      </c>
      <c r="D669" s="372">
        <v>0</v>
      </c>
      <c r="E669" s="372">
        <v>0</v>
      </c>
      <c r="F669" s="372">
        <v>0</v>
      </c>
      <c r="G669" s="372">
        <v>0</v>
      </c>
      <c r="H669" s="372">
        <v>0</v>
      </c>
      <c r="I669" s="372">
        <v>0</v>
      </c>
      <c r="J669" s="372">
        <v>0</v>
      </c>
      <c r="K669" s="372">
        <v>0</v>
      </c>
      <c r="L669" s="372">
        <v>0</v>
      </c>
      <c r="M669" s="372">
        <v>0</v>
      </c>
      <c r="N669" s="372">
        <v>0</v>
      </c>
      <c r="O669" s="372">
        <v>0</v>
      </c>
      <c r="P669" s="372">
        <v>0</v>
      </c>
      <c r="Q669" s="372">
        <v>0</v>
      </c>
      <c r="R669" s="372">
        <v>0</v>
      </c>
      <c r="S669" s="372">
        <v>0</v>
      </c>
    </row>
    <row r="670" spans="1:19" ht="12.75">
      <c r="A670" s="369" t="s">
        <v>1251</v>
      </c>
      <c r="B670" s="369" t="s">
        <v>1962</v>
      </c>
      <c r="C670" s="369" t="s">
        <v>997</v>
      </c>
      <c r="D670" s="372">
        <v>0</v>
      </c>
      <c r="E670" s="372">
        <v>1</v>
      </c>
      <c r="F670" s="372">
        <v>0</v>
      </c>
      <c r="G670" s="372">
        <v>1</v>
      </c>
      <c r="H670" s="372">
        <v>1</v>
      </c>
      <c r="I670" s="372">
        <v>0</v>
      </c>
      <c r="J670" s="372">
        <v>0</v>
      </c>
      <c r="K670" s="372">
        <v>0</v>
      </c>
      <c r="L670" s="372">
        <v>0</v>
      </c>
      <c r="M670" s="372">
        <v>0</v>
      </c>
      <c r="N670" s="372">
        <v>1</v>
      </c>
      <c r="O670" s="372">
        <v>1</v>
      </c>
      <c r="P670" s="372">
        <v>1</v>
      </c>
      <c r="Q670" s="372">
        <v>0</v>
      </c>
      <c r="R670" s="372">
        <v>0</v>
      </c>
      <c r="S670" s="372">
        <v>0</v>
      </c>
    </row>
    <row r="671" spans="1:19" ht="12.75">
      <c r="A671" s="369" t="s">
        <v>335</v>
      </c>
      <c r="B671" s="369" t="s">
        <v>334</v>
      </c>
      <c r="C671" s="369" t="s">
        <v>998</v>
      </c>
      <c r="D671" s="372">
        <v>0</v>
      </c>
      <c r="E671" s="372">
        <v>0</v>
      </c>
      <c r="F671" s="372">
        <v>0</v>
      </c>
      <c r="G671" s="372">
        <v>0</v>
      </c>
      <c r="H671" s="372">
        <v>0</v>
      </c>
      <c r="I671" s="372">
        <v>0</v>
      </c>
      <c r="J671" s="372">
        <v>0</v>
      </c>
      <c r="K671" s="372">
        <v>0</v>
      </c>
      <c r="L671" s="372">
        <v>0</v>
      </c>
      <c r="M671" s="372">
        <v>0</v>
      </c>
      <c r="N671" s="372">
        <v>0</v>
      </c>
      <c r="O671" s="372">
        <v>0</v>
      </c>
      <c r="P671" s="372">
        <v>0</v>
      </c>
      <c r="Q671" s="372">
        <v>0</v>
      </c>
      <c r="R671" s="372">
        <v>0</v>
      </c>
      <c r="S671" s="372">
        <v>0</v>
      </c>
    </row>
    <row r="672" spans="1:19" ht="12.75">
      <c r="A672" s="369" t="s">
        <v>1252</v>
      </c>
      <c r="B672" s="369" t="s">
        <v>1963</v>
      </c>
      <c r="C672" s="369" t="s">
        <v>999</v>
      </c>
      <c r="D672" s="372">
        <v>0</v>
      </c>
      <c r="E672" s="372">
        <v>0</v>
      </c>
      <c r="F672" s="372">
        <v>0</v>
      </c>
      <c r="G672" s="372">
        <v>0</v>
      </c>
      <c r="H672" s="372">
        <v>0</v>
      </c>
      <c r="I672" s="372">
        <v>0</v>
      </c>
      <c r="J672" s="372">
        <v>0</v>
      </c>
      <c r="K672" s="372">
        <v>1</v>
      </c>
      <c r="L672" s="372">
        <v>0</v>
      </c>
      <c r="M672" s="372">
        <v>0</v>
      </c>
      <c r="N672" s="372">
        <v>1</v>
      </c>
      <c r="O672" s="372">
        <v>0</v>
      </c>
      <c r="P672" s="372">
        <v>0</v>
      </c>
      <c r="Q672" s="372">
        <v>0</v>
      </c>
      <c r="R672" s="372">
        <v>0</v>
      </c>
      <c r="S672" s="372">
        <v>0</v>
      </c>
    </row>
    <row r="673" spans="1:19" ht="12.75">
      <c r="A673" s="369" t="s">
        <v>1253</v>
      </c>
      <c r="B673" s="369" t="s">
        <v>1880</v>
      </c>
      <c r="C673" s="369" t="s">
        <v>1000</v>
      </c>
      <c r="D673" s="372">
        <v>0</v>
      </c>
      <c r="E673" s="372">
        <v>0</v>
      </c>
      <c r="F673" s="372">
        <v>0</v>
      </c>
      <c r="G673" s="372">
        <v>0</v>
      </c>
      <c r="H673" s="372">
        <v>0</v>
      </c>
      <c r="I673" s="372">
        <v>0</v>
      </c>
      <c r="J673" s="372">
        <v>0</v>
      </c>
      <c r="K673" s="372">
        <v>0</v>
      </c>
      <c r="L673" s="372">
        <v>0</v>
      </c>
      <c r="M673" s="372">
        <v>0</v>
      </c>
      <c r="N673" s="372">
        <v>0</v>
      </c>
      <c r="O673" s="372">
        <v>0</v>
      </c>
      <c r="P673" s="372">
        <v>0</v>
      </c>
      <c r="Q673" s="372">
        <v>0</v>
      </c>
      <c r="R673" s="372">
        <v>0</v>
      </c>
      <c r="S673" s="372">
        <v>0</v>
      </c>
    </row>
    <row r="674" spans="1:19" ht="12.75">
      <c r="A674" s="369" t="s">
        <v>1560</v>
      </c>
      <c r="B674" s="369" t="s">
        <v>1881</v>
      </c>
      <c r="C674" s="369" t="s">
        <v>1001</v>
      </c>
      <c r="D674" s="372">
        <v>0</v>
      </c>
      <c r="E674" s="372">
        <v>0</v>
      </c>
      <c r="F674" s="372">
        <v>0</v>
      </c>
      <c r="G674" s="372">
        <v>0</v>
      </c>
      <c r="H674" s="372">
        <v>0</v>
      </c>
      <c r="I674" s="372">
        <v>0</v>
      </c>
      <c r="J674" s="372">
        <v>0</v>
      </c>
      <c r="K674" s="372">
        <v>0</v>
      </c>
      <c r="L674" s="372">
        <v>0</v>
      </c>
      <c r="M674" s="372">
        <v>0</v>
      </c>
      <c r="N674" s="372">
        <v>0</v>
      </c>
      <c r="O674" s="372">
        <v>0</v>
      </c>
      <c r="P674" s="372">
        <v>0</v>
      </c>
      <c r="Q674" s="372">
        <v>0</v>
      </c>
      <c r="R674" s="372">
        <v>0</v>
      </c>
      <c r="S674" s="372">
        <v>0</v>
      </c>
    </row>
    <row r="675" spans="1:19" ht="12.75">
      <c r="A675" s="369" t="s">
        <v>337</v>
      </c>
      <c r="B675" s="369" t="s">
        <v>336</v>
      </c>
      <c r="C675" s="369" t="s">
        <v>1002</v>
      </c>
      <c r="D675" s="372">
        <v>0</v>
      </c>
      <c r="E675" s="372">
        <v>0</v>
      </c>
      <c r="F675" s="372">
        <v>0</v>
      </c>
      <c r="G675" s="372">
        <v>0</v>
      </c>
      <c r="H675" s="372">
        <v>0</v>
      </c>
      <c r="I675" s="372">
        <v>0</v>
      </c>
      <c r="J675" s="372">
        <v>0</v>
      </c>
      <c r="K675" s="372">
        <v>0</v>
      </c>
      <c r="L675" s="372">
        <v>0</v>
      </c>
      <c r="M675" s="372">
        <v>0</v>
      </c>
      <c r="N675" s="372">
        <v>0</v>
      </c>
      <c r="O675" s="372">
        <v>0</v>
      </c>
      <c r="P675" s="372">
        <v>0</v>
      </c>
      <c r="Q675" s="372">
        <v>0</v>
      </c>
      <c r="R675" s="372">
        <v>0</v>
      </c>
      <c r="S675" s="372">
        <v>0</v>
      </c>
    </row>
    <row r="676" spans="1:19" ht="12.75">
      <c r="A676" s="369" t="s">
        <v>1399</v>
      </c>
      <c r="B676" s="369" t="s">
        <v>1400</v>
      </c>
      <c r="C676" s="369"/>
      <c r="D676" s="372">
        <v>0</v>
      </c>
      <c r="E676" s="372">
        <v>0</v>
      </c>
      <c r="F676" s="372">
        <v>0</v>
      </c>
      <c r="G676" s="372">
        <v>0</v>
      </c>
      <c r="H676" s="372">
        <v>0</v>
      </c>
      <c r="I676" s="372">
        <v>0</v>
      </c>
      <c r="J676" s="372">
        <v>0</v>
      </c>
      <c r="K676" s="372">
        <v>0</v>
      </c>
      <c r="L676" s="372">
        <v>0</v>
      </c>
      <c r="M676" s="372">
        <v>0</v>
      </c>
      <c r="N676" s="372">
        <v>0</v>
      </c>
      <c r="O676" s="372">
        <v>0</v>
      </c>
      <c r="P676" s="372">
        <v>0</v>
      </c>
      <c r="Q676" s="372">
        <v>0</v>
      </c>
      <c r="R676" s="372">
        <v>0</v>
      </c>
      <c r="S676" s="372">
        <v>0</v>
      </c>
    </row>
    <row r="677" spans="1:19" ht="12.75">
      <c r="A677" s="369" t="s">
        <v>212</v>
      </c>
      <c r="B677" s="369" t="s">
        <v>211</v>
      </c>
      <c r="C677" s="369" t="s">
        <v>1003</v>
      </c>
      <c r="D677" s="372">
        <v>0</v>
      </c>
      <c r="E677" s="372">
        <v>0</v>
      </c>
      <c r="F677" s="372">
        <v>0</v>
      </c>
      <c r="G677" s="372">
        <v>0</v>
      </c>
      <c r="H677" s="372">
        <v>0</v>
      </c>
      <c r="I677" s="372">
        <v>0</v>
      </c>
      <c r="J677" s="372">
        <v>0</v>
      </c>
      <c r="K677" s="372">
        <v>0</v>
      </c>
      <c r="L677" s="372">
        <v>0</v>
      </c>
      <c r="M677" s="372">
        <v>0</v>
      </c>
      <c r="N677" s="372">
        <v>0</v>
      </c>
      <c r="O677" s="372">
        <v>0</v>
      </c>
      <c r="P677" s="372">
        <v>0</v>
      </c>
      <c r="Q677" s="372">
        <v>0</v>
      </c>
      <c r="R677" s="372">
        <v>0</v>
      </c>
      <c r="S677" s="372">
        <v>0</v>
      </c>
    </row>
    <row r="678" spans="1:19" ht="12.75">
      <c r="A678" s="369" t="s">
        <v>322</v>
      </c>
      <c r="B678" s="369" t="s">
        <v>30</v>
      </c>
      <c r="C678" s="369" t="s">
        <v>1004</v>
      </c>
      <c r="D678" s="372">
        <v>0</v>
      </c>
      <c r="E678" s="372">
        <v>0</v>
      </c>
      <c r="F678" s="372">
        <v>0</v>
      </c>
      <c r="G678" s="372">
        <v>0</v>
      </c>
      <c r="H678" s="372">
        <v>0</v>
      </c>
      <c r="I678" s="372">
        <v>0</v>
      </c>
      <c r="J678" s="372">
        <v>0</v>
      </c>
      <c r="K678" s="372">
        <v>0</v>
      </c>
      <c r="L678" s="372">
        <v>0</v>
      </c>
      <c r="M678" s="372">
        <v>0</v>
      </c>
      <c r="N678" s="372">
        <v>0</v>
      </c>
      <c r="O678" s="372">
        <v>0</v>
      </c>
      <c r="P678" s="372">
        <v>0</v>
      </c>
      <c r="Q678" s="372">
        <v>0</v>
      </c>
      <c r="R678" s="372">
        <v>0</v>
      </c>
      <c r="S678" s="372">
        <v>0</v>
      </c>
    </row>
    <row r="679" spans="1:19" ht="12.75">
      <c r="A679" s="369" t="s">
        <v>1561</v>
      </c>
      <c r="B679" s="369" t="s">
        <v>1882</v>
      </c>
      <c r="C679" s="369" t="s">
        <v>1005</v>
      </c>
      <c r="D679" s="372">
        <v>1</v>
      </c>
      <c r="E679" s="372">
        <v>1</v>
      </c>
      <c r="F679" s="372">
        <v>0</v>
      </c>
      <c r="G679" s="372">
        <v>0</v>
      </c>
      <c r="H679" s="372">
        <v>0</v>
      </c>
      <c r="I679" s="372">
        <v>1</v>
      </c>
      <c r="J679" s="372">
        <v>0</v>
      </c>
      <c r="K679" s="372">
        <v>0</v>
      </c>
      <c r="L679" s="372">
        <v>0</v>
      </c>
      <c r="M679" s="372">
        <v>0</v>
      </c>
      <c r="N679" s="372">
        <v>0</v>
      </c>
      <c r="O679" s="372">
        <v>0</v>
      </c>
      <c r="P679" s="372">
        <v>0</v>
      </c>
      <c r="Q679" s="372">
        <v>0</v>
      </c>
      <c r="R679" s="372">
        <v>0</v>
      </c>
      <c r="S679" s="372">
        <v>1</v>
      </c>
    </row>
    <row r="680" spans="1:19" ht="12.75">
      <c r="A680" s="369" t="s">
        <v>1140</v>
      </c>
      <c r="B680" s="369" t="s">
        <v>43</v>
      </c>
      <c r="C680" s="369" t="s">
        <v>1006</v>
      </c>
      <c r="D680" s="372">
        <v>1</v>
      </c>
      <c r="E680" s="372">
        <v>1</v>
      </c>
      <c r="F680" s="372">
        <v>1</v>
      </c>
      <c r="G680" s="372">
        <v>1</v>
      </c>
      <c r="H680" s="372">
        <v>1</v>
      </c>
      <c r="I680" s="372">
        <v>1</v>
      </c>
      <c r="J680" s="372">
        <v>1</v>
      </c>
      <c r="K680" s="372">
        <v>1</v>
      </c>
      <c r="L680" s="372">
        <v>1</v>
      </c>
      <c r="M680" s="372">
        <v>1</v>
      </c>
      <c r="N680" s="372">
        <v>1</v>
      </c>
      <c r="O680" s="372">
        <v>1</v>
      </c>
      <c r="P680" s="372">
        <v>1</v>
      </c>
      <c r="Q680" s="372">
        <v>0</v>
      </c>
      <c r="R680" s="372">
        <v>1</v>
      </c>
      <c r="S680" s="372">
        <v>1</v>
      </c>
    </row>
    <row r="681" spans="1:19" ht="12.75">
      <c r="A681" s="369" t="s">
        <v>1582</v>
      </c>
      <c r="B681" s="369" t="s">
        <v>323</v>
      </c>
      <c r="C681" s="369" t="s">
        <v>1007</v>
      </c>
      <c r="D681" s="372">
        <v>0</v>
      </c>
      <c r="E681" s="372">
        <v>0</v>
      </c>
      <c r="F681" s="372">
        <v>0</v>
      </c>
      <c r="G681" s="372">
        <v>0</v>
      </c>
      <c r="H681" s="372">
        <v>0</v>
      </c>
      <c r="I681" s="372">
        <v>0</v>
      </c>
      <c r="J681" s="372">
        <v>0</v>
      </c>
      <c r="K681" s="372">
        <v>0</v>
      </c>
      <c r="L681" s="372">
        <v>0</v>
      </c>
      <c r="M681" s="372">
        <v>0</v>
      </c>
      <c r="N681" s="372">
        <v>0</v>
      </c>
      <c r="O681" s="372">
        <v>0</v>
      </c>
      <c r="P681" s="372">
        <v>0</v>
      </c>
      <c r="Q681" s="372">
        <v>0</v>
      </c>
      <c r="R681" s="372">
        <v>0</v>
      </c>
      <c r="S681" s="372">
        <v>0</v>
      </c>
    </row>
    <row r="682" spans="1:19" ht="12.75">
      <c r="A682" s="369" t="s">
        <v>2175</v>
      </c>
      <c r="B682" s="369" t="s">
        <v>1583</v>
      </c>
      <c r="C682" s="369" t="s">
        <v>1008</v>
      </c>
      <c r="D682" s="372">
        <v>0</v>
      </c>
      <c r="E682" s="372">
        <v>0</v>
      </c>
      <c r="F682" s="372">
        <v>0</v>
      </c>
      <c r="G682" s="372">
        <v>0</v>
      </c>
      <c r="H682" s="372">
        <v>0</v>
      </c>
      <c r="I682" s="372">
        <v>0</v>
      </c>
      <c r="J682" s="372">
        <v>0</v>
      </c>
      <c r="K682" s="372">
        <v>0</v>
      </c>
      <c r="L682" s="372">
        <v>0</v>
      </c>
      <c r="M682" s="372">
        <v>0</v>
      </c>
      <c r="N682" s="372">
        <v>0</v>
      </c>
      <c r="O682" s="372">
        <v>0</v>
      </c>
      <c r="P682" s="372">
        <v>0</v>
      </c>
      <c r="Q682" s="372">
        <v>0</v>
      </c>
      <c r="R682" s="372">
        <v>0</v>
      </c>
      <c r="S682" s="372">
        <v>0</v>
      </c>
    </row>
    <row r="683" spans="1:19" ht="12.75">
      <c r="A683" s="369" t="s">
        <v>1219</v>
      </c>
      <c r="B683" s="369" t="s">
        <v>1883</v>
      </c>
      <c r="C683" s="369" t="s">
        <v>1009</v>
      </c>
      <c r="D683" s="372">
        <v>1</v>
      </c>
      <c r="E683" s="372">
        <v>0</v>
      </c>
      <c r="F683" s="372">
        <v>1</v>
      </c>
      <c r="G683" s="372">
        <v>1</v>
      </c>
      <c r="H683" s="372">
        <v>1</v>
      </c>
      <c r="I683" s="372">
        <v>1</v>
      </c>
      <c r="J683" s="372">
        <v>1</v>
      </c>
      <c r="K683" s="372">
        <v>1</v>
      </c>
      <c r="L683" s="372">
        <v>1</v>
      </c>
      <c r="M683" s="372">
        <v>1</v>
      </c>
      <c r="N683" s="372">
        <v>1</v>
      </c>
      <c r="O683" s="372">
        <v>1</v>
      </c>
      <c r="P683" s="372">
        <v>1</v>
      </c>
      <c r="Q683" s="372">
        <v>0</v>
      </c>
      <c r="R683" s="372">
        <v>0</v>
      </c>
      <c r="S683" s="372">
        <v>1</v>
      </c>
    </row>
    <row r="684" spans="1:19" ht="12.75">
      <c r="A684" s="369" t="s">
        <v>241</v>
      </c>
      <c r="B684" s="369" t="s">
        <v>2176</v>
      </c>
      <c r="C684" s="369" t="s">
        <v>1010</v>
      </c>
      <c r="D684" s="372">
        <v>0</v>
      </c>
      <c r="E684" s="372">
        <v>0</v>
      </c>
      <c r="F684" s="372">
        <v>0</v>
      </c>
      <c r="G684" s="372">
        <v>0</v>
      </c>
      <c r="H684" s="372">
        <v>0</v>
      </c>
      <c r="I684" s="372">
        <v>0</v>
      </c>
      <c r="J684" s="372">
        <v>0</v>
      </c>
      <c r="K684" s="372">
        <v>0</v>
      </c>
      <c r="L684" s="372">
        <v>0</v>
      </c>
      <c r="M684" s="372">
        <v>0</v>
      </c>
      <c r="N684" s="372">
        <v>0</v>
      </c>
      <c r="O684" s="372">
        <v>0</v>
      </c>
      <c r="P684" s="372">
        <v>0</v>
      </c>
      <c r="Q684" s="372">
        <v>0</v>
      </c>
      <c r="R684" s="372">
        <v>0</v>
      </c>
      <c r="S684" s="372">
        <v>0</v>
      </c>
    </row>
    <row r="685" spans="1:19" ht="12.75">
      <c r="A685" s="369" t="s">
        <v>243</v>
      </c>
      <c r="B685" s="369" t="s">
        <v>242</v>
      </c>
      <c r="C685" s="369" t="s">
        <v>1011</v>
      </c>
      <c r="D685" s="372">
        <v>0</v>
      </c>
      <c r="E685" s="372">
        <v>0</v>
      </c>
      <c r="F685" s="372">
        <v>0</v>
      </c>
      <c r="G685" s="372">
        <v>0</v>
      </c>
      <c r="H685" s="372">
        <v>0</v>
      </c>
      <c r="I685" s="372">
        <v>0</v>
      </c>
      <c r="J685" s="372">
        <v>0</v>
      </c>
      <c r="K685" s="372">
        <v>0</v>
      </c>
      <c r="L685" s="372">
        <v>0</v>
      </c>
      <c r="M685" s="372">
        <v>0</v>
      </c>
      <c r="N685" s="372">
        <v>0</v>
      </c>
      <c r="O685" s="372">
        <v>0</v>
      </c>
      <c r="P685" s="372">
        <v>0</v>
      </c>
      <c r="Q685" s="372">
        <v>0</v>
      </c>
      <c r="R685" s="372">
        <v>0</v>
      </c>
      <c r="S685" s="372">
        <v>0</v>
      </c>
    </row>
    <row r="686" spans="1:19" ht="12.75">
      <c r="A686" s="369" t="s">
        <v>1304</v>
      </c>
      <c r="B686" s="369" t="s">
        <v>1884</v>
      </c>
      <c r="C686" s="369" t="s">
        <v>1012</v>
      </c>
      <c r="D686" s="372">
        <v>1</v>
      </c>
      <c r="E686" s="372">
        <v>1</v>
      </c>
      <c r="F686" s="372">
        <v>1</v>
      </c>
      <c r="G686" s="372">
        <v>1</v>
      </c>
      <c r="H686" s="372">
        <v>1</v>
      </c>
      <c r="I686" s="372">
        <v>1</v>
      </c>
      <c r="J686" s="372">
        <v>1</v>
      </c>
      <c r="K686" s="372">
        <v>1</v>
      </c>
      <c r="L686" s="372">
        <v>1</v>
      </c>
      <c r="M686" s="372">
        <v>1</v>
      </c>
      <c r="N686" s="372">
        <v>1</v>
      </c>
      <c r="O686" s="372">
        <v>1</v>
      </c>
      <c r="P686" s="372">
        <v>1</v>
      </c>
      <c r="Q686" s="372">
        <v>1</v>
      </c>
      <c r="R686" s="372">
        <v>1</v>
      </c>
      <c r="S686" s="372">
        <v>1</v>
      </c>
    </row>
    <row r="687" spans="1:19" ht="12.75">
      <c r="A687" s="369" t="s">
        <v>1305</v>
      </c>
      <c r="B687" s="369" t="s">
        <v>1885</v>
      </c>
      <c r="C687" s="369" t="s">
        <v>1013</v>
      </c>
      <c r="D687" s="372">
        <v>1</v>
      </c>
      <c r="E687" s="372">
        <v>1</v>
      </c>
      <c r="F687" s="372">
        <v>0</v>
      </c>
      <c r="G687" s="372">
        <v>1</v>
      </c>
      <c r="H687" s="372">
        <v>1</v>
      </c>
      <c r="I687" s="372">
        <v>1</v>
      </c>
      <c r="J687" s="372">
        <v>1</v>
      </c>
      <c r="K687" s="372">
        <v>1</v>
      </c>
      <c r="L687" s="372">
        <v>1</v>
      </c>
      <c r="M687" s="372">
        <v>1</v>
      </c>
      <c r="N687" s="372">
        <v>1</v>
      </c>
      <c r="O687" s="372">
        <v>1</v>
      </c>
      <c r="P687" s="372">
        <v>1</v>
      </c>
      <c r="Q687" s="372">
        <v>0</v>
      </c>
      <c r="R687" s="372">
        <v>0</v>
      </c>
      <c r="S687" s="372">
        <v>1</v>
      </c>
    </row>
    <row r="688" spans="1:19" ht="12.75">
      <c r="A688" s="369" t="s">
        <v>2454</v>
      </c>
      <c r="B688" s="369" t="s">
        <v>2453</v>
      </c>
      <c r="C688" s="369" t="s">
        <v>1014</v>
      </c>
      <c r="D688" s="372">
        <v>0</v>
      </c>
      <c r="E688" s="372">
        <v>0</v>
      </c>
      <c r="F688" s="372">
        <v>0</v>
      </c>
      <c r="G688" s="372">
        <v>0</v>
      </c>
      <c r="H688" s="372">
        <v>0</v>
      </c>
      <c r="I688" s="372">
        <v>0</v>
      </c>
      <c r="J688" s="372">
        <v>0</v>
      </c>
      <c r="K688" s="372">
        <v>0</v>
      </c>
      <c r="L688" s="372">
        <v>0</v>
      </c>
      <c r="M688" s="372">
        <v>0</v>
      </c>
      <c r="N688" s="372">
        <v>0</v>
      </c>
      <c r="O688" s="372">
        <v>0</v>
      </c>
      <c r="P688" s="372">
        <v>0</v>
      </c>
      <c r="Q688" s="372">
        <v>0</v>
      </c>
      <c r="R688" s="372">
        <v>0</v>
      </c>
      <c r="S688" s="372">
        <v>0</v>
      </c>
    </row>
    <row r="689" spans="1:19" ht="12.75">
      <c r="A689" s="369" t="s">
        <v>359</v>
      </c>
      <c r="B689" s="369" t="s">
        <v>358</v>
      </c>
      <c r="C689" s="369" t="s">
        <v>1015</v>
      </c>
      <c r="D689" s="372">
        <v>0</v>
      </c>
      <c r="E689" s="372">
        <v>0</v>
      </c>
      <c r="F689" s="372">
        <v>0</v>
      </c>
      <c r="G689" s="372">
        <v>0</v>
      </c>
      <c r="H689" s="372">
        <v>0</v>
      </c>
      <c r="I689" s="372">
        <v>0</v>
      </c>
      <c r="J689" s="372">
        <v>0</v>
      </c>
      <c r="K689" s="372">
        <v>0</v>
      </c>
      <c r="L689" s="372">
        <v>0</v>
      </c>
      <c r="M689" s="372">
        <v>0</v>
      </c>
      <c r="N689" s="372">
        <v>0</v>
      </c>
      <c r="O689" s="372">
        <v>0</v>
      </c>
      <c r="P689" s="372">
        <v>0</v>
      </c>
      <c r="Q689" s="372">
        <v>0</v>
      </c>
      <c r="R689" s="372">
        <v>0</v>
      </c>
      <c r="S689" s="372">
        <v>0</v>
      </c>
    </row>
    <row r="690" spans="1:19" ht="12.75">
      <c r="A690" s="369" t="s">
        <v>0</v>
      </c>
      <c r="B690" s="369" t="s">
        <v>2509</v>
      </c>
      <c r="C690" s="369" t="s">
        <v>1016</v>
      </c>
      <c r="D690" s="372">
        <v>0</v>
      </c>
      <c r="E690" s="372">
        <v>0</v>
      </c>
      <c r="F690" s="372">
        <v>0</v>
      </c>
      <c r="G690" s="372">
        <v>0</v>
      </c>
      <c r="H690" s="372">
        <v>0</v>
      </c>
      <c r="I690" s="372">
        <v>0</v>
      </c>
      <c r="J690" s="372">
        <v>0</v>
      </c>
      <c r="K690" s="372">
        <v>0</v>
      </c>
      <c r="L690" s="372">
        <v>0</v>
      </c>
      <c r="M690" s="372">
        <v>0</v>
      </c>
      <c r="N690" s="372">
        <v>0</v>
      </c>
      <c r="O690" s="372">
        <v>0</v>
      </c>
      <c r="P690" s="372">
        <v>0</v>
      </c>
      <c r="Q690" s="372">
        <v>0</v>
      </c>
      <c r="R690" s="372">
        <v>0</v>
      </c>
      <c r="S690" s="372">
        <v>0</v>
      </c>
    </row>
    <row r="691" spans="1:19" ht="12.75">
      <c r="A691" s="369" t="s">
        <v>2</v>
      </c>
      <c r="B691" s="369" t="s">
        <v>1</v>
      </c>
      <c r="C691" s="369"/>
      <c r="D691" s="372">
        <v>0</v>
      </c>
      <c r="E691" s="372">
        <v>0</v>
      </c>
      <c r="F691" s="372">
        <v>0</v>
      </c>
      <c r="G691" s="372">
        <v>0</v>
      </c>
      <c r="H691" s="372">
        <v>0</v>
      </c>
      <c r="I691" s="372">
        <v>0</v>
      </c>
      <c r="J691" s="372">
        <v>0</v>
      </c>
      <c r="K691" s="372">
        <v>0</v>
      </c>
      <c r="L691" s="372">
        <v>0</v>
      </c>
      <c r="M691" s="372">
        <v>0</v>
      </c>
      <c r="N691" s="372">
        <v>0</v>
      </c>
      <c r="O691" s="372">
        <v>0</v>
      </c>
      <c r="P691" s="372">
        <v>0</v>
      </c>
      <c r="Q691" s="372">
        <v>0</v>
      </c>
      <c r="R691" s="372">
        <v>0</v>
      </c>
      <c r="S691" s="372">
        <v>0</v>
      </c>
    </row>
    <row r="692" spans="1:19" ht="12.75">
      <c r="A692" s="369" t="s">
        <v>4</v>
      </c>
      <c r="B692" s="369" t="s">
        <v>3</v>
      </c>
      <c r="C692" s="369" t="s">
        <v>1017</v>
      </c>
      <c r="D692" s="372">
        <v>0</v>
      </c>
      <c r="E692" s="372">
        <v>0</v>
      </c>
      <c r="F692" s="372">
        <v>0</v>
      </c>
      <c r="G692" s="372">
        <v>0</v>
      </c>
      <c r="H692" s="372">
        <v>0</v>
      </c>
      <c r="I692" s="372">
        <v>0</v>
      </c>
      <c r="J692" s="372">
        <v>0</v>
      </c>
      <c r="K692" s="372">
        <v>0</v>
      </c>
      <c r="L692" s="372">
        <v>0</v>
      </c>
      <c r="M692" s="372">
        <v>0</v>
      </c>
      <c r="N692" s="372">
        <v>0</v>
      </c>
      <c r="O692" s="372">
        <v>0</v>
      </c>
      <c r="P692" s="372">
        <v>0</v>
      </c>
      <c r="Q692" s="372">
        <v>0</v>
      </c>
      <c r="R692" s="372">
        <v>0</v>
      </c>
      <c r="S692" s="372">
        <v>0</v>
      </c>
    </row>
    <row r="693" spans="1:19" ht="12.75">
      <c r="A693" s="369" t="s">
        <v>1306</v>
      </c>
      <c r="B693" s="369" t="s">
        <v>1447</v>
      </c>
      <c r="C693" s="369" t="s">
        <v>1018</v>
      </c>
      <c r="D693" s="372">
        <v>0</v>
      </c>
      <c r="E693" s="372">
        <v>0</v>
      </c>
      <c r="F693" s="372">
        <v>0</v>
      </c>
      <c r="G693" s="372">
        <v>0</v>
      </c>
      <c r="H693" s="372">
        <v>0</v>
      </c>
      <c r="I693" s="372">
        <v>0</v>
      </c>
      <c r="J693" s="372">
        <v>0</v>
      </c>
      <c r="K693" s="372">
        <v>0</v>
      </c>
      <c r="L693" s="372">
        <v>0</v>
      </c>
      <c r="M693" s="372">
        <v>0</v>
      </c>
      <c r="N693" s="372">
        <v>0</v>
      </c>
      <c r="O693" s="372">
        <v>0</v>
      </c>
      <c r="P693" s="372">
        <v>0</v>
      </c>
      <c r="Q693" s="372">
        <v>0</v>
      </c>
      <c r="R693" s="372">
        <v>0</v>
      </c>
      <c r="S693" s="372">
        <v>0</v>
      </c>
    </row>
    <row r="694" spans="1:19" ht="12.75">
      <c r="A694" s="369" t="s">
        <v>57</v>
      </c>
      <c r="B694" s="369" t="s">
        <v>1448</v>
      </c>
      <c r="C694" s="369" t="s">
        <v>1019</v>
      </c>
      <c r="D694" s="372">
        <v>0</v>
      </c>
      <c r="E694" s="372">
        <v>0</v>
      </c>
      <c r="F694" s="372">
        <v>0</v>
      </c>
      <c r="G694" s="372">
        <v>0</v>
      </c>
      <c r="H694" s="372">
        <v>0</v>
      </c>
      <c r="I694" s="372">
        <v>0</v>
      </c>
      <c r="J694" s="372">
        <v>0</v>
      </c>
      <c r="K694" s="372">
        <v>0</v>
      </c>
      <c r="L694" s="372">
        <v>0</v>
      </c>
      <c r="M694" s="372">
        <v>0</v>
      </c>
      <c r="N694" s="372">
        <v>0</v>
      </c>
      <c r="O694" s="372">
        <v>0</v>
      </c>
      <c r="P694" s="372">
        <v>0</v>
      </c>
      <c r="Q694" s="372">
        <v>0</v>
      </c>
      <c r="R694" s="372">
        <v>0</v>
      </c>
      <c r="S694" s="372">
        <v>0</v>
      </c>
    </row>
    <row r="695" spans="1:19" ht="12.75">
      <c r="A695" s="369" t="s">
        <v>1811</v>
      </c>
      <c r="B695" s="369" t="s">
        <v>1449</v>
      </c>
      <c r="C695" s="369" t="s">
        <v>1020</v>
      </c>
      <c r="D695" s="372">
        <v>0</v>
      </c>
      <c r="E695" s="372">
        <v>0</v>
      </c>
      <c r="F695" s="372">
        <v>0</v>
      </c>
      <c r="G695" s="372">
        <v>0</v>
      </c>
      <c r="H695" s="372">
        <v>0</v>
      </c>
      <c r="I695" s="372">
        <v>0</v>
      </c>
      <c r="J695" s="372">
        <v>0</v>
      </c>
      <c r="K695" s="372">
        <v>0</v>
      </c>
      <c r="L695" s="372">
        <v>0</v>
      </c>
      <c r="M695" s="372">
        <v>0</v>
      </c>
      <c r="N695" s="372">
        <v>0</v>
      </c>
      <c r="O695" s="372">
        <v>0</v>
      </c>
      <c r="P695" s="372">
        <v>0</v>
      </c>
      <c r="Q695" s="372">
        <v>0</v>
      </c>
      <c r="R695" s="372">
        <v>0</v>
      </c>
      <c r="S695" s="372">
        <v>0</v>
      </c>
    </row>
    <row r="696" spans="1:19" ht="12.75">
      <c r="A696" s="369" t="s">
        <v>1178</v>
      </c>
      <c r="B696" s="369" t="s">
        <v>1260</v>
      </c>
      <c r="C696" s="369" t="s">
        <v>1021</v>
      </c>
      <c r="D696" s="372">
        <v>0</v>
      </c>
      <c r="E696" s="372">
        <v>0</v>
      </c>
      <c r="F696" s="372">
        <v>0</v>
      </c>
      <c r="G696" s="372">
        <v>0</v>
      </c>
      <c r="H696" s="372">
        <v>0</v>
      </c>
      <c r="I696" s="372">
        <v>0</v>
      </c>
      <c r="J696" s="372">
        <v>0</v>
      </c>
      <c r="K696" s="372">
        <v>0</v>
      </c>
      <c r="L696" s="372">
        <v>0</v>
      </c>
      <c r="M696" s="372">
        <v>0</v>
      </c>
      <c r="N696" s="372">
        <v>0</v>
      </c>
      <c r="O696" s="372">
        <v>0</v>
      </c>
      <c r="P696" s="372">
        <v>0</v>
      </c>
      <c r="Q696" s="372">
        <v>0</v>
      </c>
      <c r="R696" s="372">
        <v>0</v>
      </c>
      <c r="S696" s="372">
        <v>0</v>
      </c>
    </row>
    <row r="697" spans="1:19" ht="12.75">
      <c r="A697" s="369" t="s">
        <v>133</v>
      </c>
      <c r="B697" s="369" t="s">
        <v>1261</v>
      </c>
      <c r="C697" s="369"/>
      <c r="D697" s="372">
        <v>0</v>
      </c>
      <c r="E697" s="372">
        <v>0</v>
      </c>
      <c r="F697" s="372">
        <v>0</v>
      </c>
      <c r="G697" s="372">
        <v>0</v>
      </c>
      <c r="H697" s="372">
        <v>0</v>
      </c>
      <c r="I697" s="372">
        <v>0</v>
      </c>
      <c r="J697" s="372">
        <v>0</v>
      </c>
      <c r="K697" s="372">
        <v>0</v>
      </c>
      <c r="L697" s="372">
        <v>0</v>
      </c>
      <c r="M697" s="372">
        <v>0</v>
      </c>
      <c r="N697" s="372">
        <v>0</v>
      </c>
      <c r="O697" s="372">
        <v>0</v>
      </c>
      <c r="P697" s="372">
        <v>0</v>
      </c>
      <c r="Q697" s="372">
        <v>0</v>
      </c>
      <c r="R697" s="372">
        <v>0</v>
      </c>
      <c r="S697" s="372">
        <v>0</v>
      </c>
    </row>
    <row r="698" spans="1:19" ht="12.75">
      <c r="A698" s="369" t="s">
        <v>1259</v>
      </c>
      <c r="B698" s="369" t="s">
        <v>5</v>
      </c>
      <c r="C698" s="369" t="s">
        <v>1022</v>
      </c>
      <c r="D698" s="372">
        <v>0</v>
      </c>
      <c r="E698" s="372">
        <v>0</v>
      </c>
      <c r="F698" s="372">
        <v>0</v>
      </c>
      <c r="G698" s="372">
        <v>0</v>
      </c>
      <c r="H698" s="372">
        <v>0</v>
      </c>
      <c r="I698" s="372">
        <v>0</v>
      </c>
      <c r="J698" s="372">
        <v>0</v>
      </c>
      <c r="K698" s="372">
        <v>0</v>
      </c>
      <c r="L698" s="372">
        <v>0</v>
      </c>
      <c r="M698" s="372">
        <v>0</v>
      </c>
      <c r="N698" s="372">
        <v>0</v>
      </c>
      <c r="O698" s="372">
        <v>0</v>
      </c>
      <c r="P698" s="372">
        <v>0</v>
      </c>
      <c r="Q698" s="372">
        <v>0</v>
      </c>
      <c r="R698" s="372">
        <v>0</v>
      </c>
      <c r="S698" s="372">
        <v>0</v>
      </c>
    </row>
    <row r="699" spans="1:19" ht="12.75">
      <c r="A699" s="369" t="s">
        <v>1632</v>
      </c>
      <c r="B699" s="369" t="s">
        <v>1023</v>
      </c>
      <c r="C699" s="369" t="s">
        <v>1024</v>
      </c>
      <c r="D699" s="372">
        <v>0</v>
      </c>
      <c r="E699" s="372">
        <v>0</v>
      </c>
      <c r="F699" s="372">
        <v>0</v>
      </c>
      <c r="G699" s="372">
        <v>0</v>
      </c>
      <c r="H699" s="372">
        <v>0</v>
      </c>
      <c r="I699" s="372">
        <v>0</v>
      </c>
      <c r="J699" s="372">
        <v>0</v>
      </c>
      <c r="K699" s="372">
        <v>0</v>
      </c>
      <c r="L699" s="372">
        <v>0</v>
      </c>
      <c r="M699" s="372">
        <v>0</v>
      </c>
      <c r="N699" s="372">
        <v>0</v>
      </c>
      <c r="O699" s="372">
        <v>0</v>
      </c>
      <c r="P699" s="372">
        <v>0</v>
      </c>
      <c r="Q699" s="372">
        <v>0</v>
      </c>
      <c r="R699" s="372">
        <v>0</v>
      </c>
      <c r="S699" s="372">
        <v>0</v>
      </c>
    </row>
    <row r="700" spans="1:19" ht="12.75">
      <c r="A700" s="369" t="s">
        <v>135</v>
      </c>
      <c r="B700" s="369" t="s">
        <v>134</v>
      </c>
      <c r="C700" s="369" t="s">
        <v>1025</v>
      </c>
      <c r="D700" s="372">
        <v>0</v>
      </c>
      <c r="E700" s="372">
        <v>0</v>
      </c>
      <c r="F700" s="372">
        <v>0</v>
      </c>
      <c r="G700" s="372">
        <v>0</v>
      </c>
      <c r="H700" s="372">
        <v>0</v>
      </c>
      <c r="I700" s="372">
        <v>0</v>
      </c>
      <c r="J700" s="372">
        <v>0</v>
      </c>
      <c r="K700" s="372">
        <v>0</v>
      </c>
      <c r="L700" s="372">
        <v>0</v>
      </c>
      <c r="M700" s="372">
        <v>0</v>
      </c>
      <c r="N700" s="372">
        <v>0</v>
      </c>
      <c r="O700" s="372">
        <v>0</v>
      </c>
      <c r="P700" s="372">
        <v>0</v>
      </c>
      <c r="Q700" s="372">
        <v>0</v>
      </c>
      <c r="R700" s="372">
        <v>0</v>
      </c>
      <c r="S700" s="372">
        <v>0</v>
      </c>
    </row>
    <row r="701" spans="1:19" ht="12.75">
      <c r="A701" s="369" t="s">
        <v>173</v>
      </c>
      <c r="B701" s="369" t="s">
        <v>2003</v>
      </c>
      <c r="C701" s="369" t="s">
        <v>1026</v>
      </c>
      <c r="D701" s="372">
        <v>0</v>
      </c>
      <c r="E701" s="372">
        <v>0</v>
      </c>
      <c r="F701" s="372">
        <v>0</v>
      </c>
      <c r="G701" s="372">
        <v>0</v>
      </c>
      <c r="H701" s="372">
        <v>0</v>
      </c>
      <c r="I701" s="372">
        <v>0</v>
      </c>
      <c r="J701" s="372">
        <v>0</v>
      </c>
      <c r="K701" s="372">
        <v>0</v>
      </c>
      <c r="L701" s="372">
        <v>0</v>
      </c>
      <c r="M701" s="372">
        <v>0</v>
      </c>
      <c r="N701" s="372">
        <v>0</v>
      </c>
      <c r="O701" s="372">
        <v>0</v>
      </c>
      <c r="P701" s="372">
        <v>0</v>
      </c>
      <c r="Q701" s="372">
        <v>0</v>
      </c>
      <c r="R701" s="372">
        <v>0</v>
      </c>
      <c r="S701" s="372">
        <v>0</v>
      </c>
    </row>
    <row r="702" spans="1:19" ht="12.75">
      <c r="A702" s="369" t="s">
        <v>2101</v>
      </c>
      <c r="B702" s="369" t="s">
        <v>2100</v>
      </c>
      <c r="C702" s="369" t="s">
        <v>1027</v>
      </c>
      <c r="D702" s="372">
        <v>0</v>
      </c>
      <c r="E702" s="372">
        <v>0</v>
      </c>
      <c r="F702" s="372">
        <v>0</v>
      </c>
      <c r="G702" s="372">
        <v>0</v>
      </c>
      <c r="H702" s="372">
        <v>0</v>
      </c>
      <c r="I702" s="372">
        <v>0</v>
      </c>
      <c r="J702" s="372">
        <v>0</v>
      </c>
      <c r="K702" s="372">
        <v>0</v>
      </c>
      <c r="L702" s="372">
        <v>0</v>
      </c>
      <c r="M702" s="372">
        <v>0</v>
      </c>
      <c r="N702" s="372">
        <v>0</v>
      </c>
      <c r="O702" s="372">
        <v>0</v>
      </c>
      <c r="P702" s="372">
        <v>0</v>
      </c>
      <c r="Q702" s="372">
        <v>0</v>
      </c>
      <c r="R702" s="372">
        <v>0</v>
      </c>
      <c r="S702" s="372">
        <v>0</v>
      </c>
    </row>
    <row r="703" spans="1:19" ht="12.75">
      <c r="A703" s="369" t="s">
        <v>2435</v>
      </c>
      <c r="B703" s="369" t="s">
        <v>2102</v>
      </c>
      <c r="C703" s="369" t="s">
        <v>1028</v>
      </c>
      <c r="D703" s="372">
        <v>0</v>
      </c>
      <c r="E703" s="372">
        <v>0</v>
      </c>
      <c r="F703" s="372">
        <v>0</v>
      </c>
      <c r="G703" s="372">
        <v>0</v>
      </c>
      <c r="H703" s="372">
        <v>0</v>
      </c>
      <c r="I703" s="372">
        <v>0</v>
      </c>
      <c r="J703" s="372">
        <v>0</v>
      </c>
      <c r="K703" s="372">
        <v>0</v>
      </c>
      <c r="L703" s="372">
        <v>0</v>
      </c>
      <c r="M703" s="372">
        <v>0</v>
      </c>
      <c r="N703" s="372">
        <v>0</v>
      </c>
      <c r="O703" s="372">
        <v>0</v>
      </c>
      <c r="P703" s="372">
        <v>0</v>
      </c>
      <c r="Q703" s="372">
        <v>0</v>
      </c>
      <c r="R703" s="372">
        <v>0</v>
      </c>
      <c r="S703" s="372">
        <v>0</v>
      </c>
    </row>
    <row r="704" spans="1:19" ht="12.75">
      <c r="A704" s="369" t="s">
        <v>1812</v>
      </c>
      <c r="B704" s="369" t="s">
        <v>1886</v>
      </c>
      <c r="C704" s="369" t="s">
        <v>1029</v>
      </c>
      <c r="D704" s="372">
        <v>0</v>
      </c>
      <c r="E704" s="372">
        <v>0</v>
      </c>
      <c r="F704" s="372">
        <v>0</v>
      </c>
      <c r="G704" s="372">
        <v>1</v>
      </c>
      <c r="H704" s="372">
        <v>1</v>
      </c>
      <c r="I704" s="372">
        <v>1</v>
      </c>
      <c r="J704" s="372">
        <v>1</v>
      </c>
      <c r="K704" s="372">
        <v>0</v>
      </c>
      <c r="L704" s="372">
        <v>0</v>
      </c>
      <c r="M704" s="372">
        <v>0</v>
      </c>
      <c r="N704" s="372">
        <v>0</v>
      </c>
      <c r="O704" s="372">
        <v>1</v>
      </c>
      <c r="P704" s="372">
        <v>0</v>
      </c>
      <c r="Q704" s="372">
        <v>0</v>
      </c>
      <c r="R704" s="372">
        <v>0</v>
      </c>
      <c r="S704" s="372">
        <v>0</v>
      </c>
    </row>
    <row r="705" spans="1:19" ht="12.75">
      <c r="A705" s="369" t="s">
        <v>167</v>
      </c>
      <c r="B705" s="369" t="s">
        <v>2436</v>
      </c>
      <c r="C705" s="369" t="s">
        <v>1030</v>
      </c>
      <c r="D705" s="372">
        <v>0</v>
      </c>
      <c r="E705" s="372">
        <v>0</v>
      </c>
      <c r="F705" s="372">
        <v>0</v>
      </c>
      <c r="G705" s="372">
        <v>0</v>
      </c>
      <c r="H705" s="372">
        <v>0</v>
      </c>
      <c r="I705" s="372">
        <v>0</v>
      </c>
      <c r="J705" s="372">
        <v>0</v>
      </c>
      <c r="K705" s="372">
        <v>0</v>
      </c>
      <c r="L705" s="372">
        <v>0</v>
      </c>
      <c r="M705" s="372">
        <v>0</v>
      </c>
      <c r="N705" s="372">
        <v>0</v>
      </c>
      <c r="O705" s="372">
        <v>0</v>
      </c>
      <c r="P705" s="372">
        <v>0</v>
      </c>
      <c r="Q705" s="372">
        <v>0</v>
      </c>
      <c r="R705" s="372">
        <v>0</v>
      </c>
      <c r="S705" s="372">
        <v>0</v>
      </c>
    </row>
    <row r="706" spans="1:19" ht="12.75">
      <c r="A706" s="369" t="s">
        <v>2395</v>
      </c>
      <c r="B706" s="369" t="s">
        <v>168</v>
      </c>
      <c r="C706" s="369" t="s">
        <v>1031</v>
      </c>
      <c r="D706" s="372">
        <v>0</v>
      </c>
      <c r="E706" s="372">
        <v>0</v>
      </c>
      <c r="F706" s="372">
        <v>0</v>
      </c>
      <c r="G706" s="372">
        <v>0</v>
      </c>
      <c r="H706" s="372">
        <v>0</v>
      </c>
      <c r="I706" s="372">
        <v>0</v>
      </c>
      <c r="J706" s="372">
        <v>0</v>
      </c>
      <c r="K706" s="372">
        <v>0</v>
      </c>
      <c r="L706" s="372">
        <v>0</v>
      </c>
      <c r="M706" s="372">
        <v>0</v>
      </c>
      <c r="N706" s="372">
        <v>0</v>
      </c>
      <c r="O706" s="372">
        <v>0</v>
      </c>
      <c r="P706" s="372">
        <v>0</v>
      </c>
      <c r="Q706" s="372">
        <v>0</v>
      </c>
      <c r="R706" s="372">
        <v>0</v>
      </c>
      <c r="S706" s="372">
        <v>0</v>
      </c>
    </row>
    <row r="707" spans="1:19" ht="12.75">
      <c r="A707" s="369" t="s">
        <v>2397</v>
      </c>
      <c r="B707" s="369" t="s">
        <v>2396</v>
      </c>
      <c r="C707" s="369" t="s">
        <v>1032</v>
      </c>
      <c r="D707" s="372">
        <v>0</v>
      </c>
      <c r="E707" s="372">
        <v>0</v>
      </c>
      <c r="F707" s="372">
        <v>0</v>
      </c>
      <c r="G707" s="372">
        <v>0</v>
      </c>
      <c r="H707" s="372">
        <v>0</v>
      </c>
      <c r="I707" s="372">
        <v>0</v>
      </c>
      <c r="J707" s="372">
        <v>0</v>
      </c>
      <c r="K707" s="372">
        <v>0</v>
      </c>
      <c r="L707" s="372">
        <v>0</v>
      </c>
      <c r="M707" s="372">
        <v>0</v>
      </c>
      <c r="N707" s="372">
        <v>0</v>
      </c>
      <c r="O707" s="372">
        <v>0</v>
      </c>
      <c r="P707" s="372">
        <v>0</v>
      </c>
      <c r="Q707" s="372">
        <v>0</v>
      </c>
      <c r="R707" s="372">
        <v>0</v>
      </c>
      <c r="S707" s="372">
        <v>0</v>
      </c>
    </row>
    <row r="708" spans="1:19" ht="12.75">
      <c r="A708" s="369" t="s">
        <v>217</v>
      </c>
      <c r="B708" s="369" t="s">
        <v>1887</v>
      </c>
      <c r="C708" s="369" t="s">
        <v>1033</v>
      </c>
      <c r="D708" s="372">
        <v>1</v>
      </c>
      <c r="E708" s="372">
        <v>1</v>
      </c>
      <c r="F708" s="372">
        <v>0</v>
      </c>
      <c r="G708" s="372">
        <v>1</v>
      </c>
      <c r="H708" s="372">
        <v>1</v>
      </c>
      <c r="I708" s="372">
        <v>1</v>
      </c>
      <c r="J708" s="372">
        <v>1</v>
      </c>
      <c r="K708" s="372">
        <v>1</v>
      </c>
      <c r="L708" s="372">
        <v>1</v>
      </c>
      <c r="M708" s="372">
        <v>1</v>
      </c>
      <c r="N708" s="372">
        <v>0</v>
      </c>
      <c r="O708" s="372">
        <v>1</v>
      </c>
      <c r="P708" s="372">
        <v>1</v>
      </c>
      <c r="Q708" s="372">
        <v>0</v>
      </c>
      <c r="R708" s="372">
        <v>0</v>
      </c>
      <c r="S708" s="372">
        <v>1</v>
      </c>
    </row>
    <row r="709" spans="1:19" ht="12.75">
      <c r="A709" s="369" t="s">
        <v>2399</v>
      </c>
      <c r="B709" s="369" t="s">
        <v>2398</v>
      </c>
      <c r="C709" s="369" t="s">
        <v>1034</v>
      </c>
      <c r="D709" s="372">
        <v>0</v>
      </c>
      <c r="E709" s="372">
        <v>0</v>
      </c>
      <c r="F709" s="372">
        <v>0</v>
      </c>
      <c r="G709" s="372">
        <v>0</v>
      </c>
      <c r="H709" s="372">
        <v>0</v>
      </c>
      <c r="I709" s="372">
        <v>0</v>
      </c>
      <c r="J709" s="372">
        <v>0</v>
      </c>
      <c r="K709" s="372">
        <v>0</v>
      </c>
      <c r="L709" s="372">
        <v>0</v>
      </c>
      <c r="M709" s="372">
        <v>0</v>
      </c>
      <c r="N709" s="372">
        <v>0</v>
      </c>
      <c r="O709" s="372">
        <v>0</v>
      </c>
      <c r="P709" s="372">
        <v>0</v>
      </c>
      <c r="Q709" s="372">
        <v>0</v>
      </c>
      <c r="R709" s="372">
        <v>0</v>
      </c>
      <c r="S709" s="372">
        <v>0</v>
      </c>
    </row>
    <row r="710" spans="1:19" ht="12.75">
      <c r="A710" s="369" t="s">
        <v>1829</v>
      </c>
      <c r="B710" s="369" t="s">
        <v>1888</v>
      </c>
      <c r="C710" s="369" t="s">
        <v>1035</v>
      </c>
      <c r="D710" s="372">
        <v>1</v>
      </c>
      <c r="E710" s="372">
        <v>1</v>
      </c>
      <c r="F710" s="372">
        <v>1</v>
      </c>
      <c r="G710" s="372">
        <v>1</v>
      </c>
      <c r="H710" s="372">
        <v>1</v>
      </c>
      <c r="I710" s="372">
        <v>1</v>
      </c>
      <c r="J710" s="372">
        <v>1</v>
      </c>
      <c r="K710" s="372">
        <v>1</v>
      </c>
      <c r="L710" s="372">
        <v>1</v>
      </c>
      <c r="M710" s="372">
        <v>1</v>
      </c>
      <c r="N710" s="372">
        <v>1</v>
      </c>
      <c r="O710" s="372">
        <v>1</v>
      </c>
      <c r="P710" s="372">
        <v>1</v>
      </c>
      <c r="Q710" s="372">
        <v>0</v>
      </c>
      <c r="R710" s="372">
        <v>1</v>
      </c>
      <c r="S710" s="372">
        <v>1</v>
      </c>
    </row>
    <row r="711" spans="1:19" ht="12.75">
      <c r="A711" s="369" t="s">
        <v>1830</v>
      </c>
      <c r="B711" s="369" t="s">
        <v>1889</v>
      </c>
      <c r="C711" s="369" t="s">
        <v>1036</v>
      </c>
      <c r="D711" s="372">
        <v>1</v>
      </c>
      <c r="E711" s="372">
        <v>1</v>
      </c>
      <c r="F711" s="372">
        <v>1</v>
      </c>
      <c r="G711" s="372">
        <v>1</v>
      </c>
      <c r="H711" s="372">
        <v>1</v>
      </c>
      <c r="I711" s="372">
        <v>1</v>
      </c>
      <c r="J711" s="372">
        <v>1</v>
      </c>
      <c r="K711" s="372">
        <v>1</v>
      </c>
      <c r="L711" s="372">
        <v>1</v>
      </c>
      <c r="M711" s="372">
        <v>1</v>
      </c>
      <c r="N711" s="372">
        <v>1</v>
      </c>
      <c r="O711" s="372">
        <v>1</v>
      </c>
      <c r="P711" s="372">
        <v>1</v>
      </c>
      <c r="Q711" s="372">
        <v>1</v>
      </c>
      <c r="R711" s="372">
        <v>1</v>
      </c>
      <c r="S711" s="372">
        <v>1</v>
      </c>
    </row>
    <row r="712" spans="1:19" ht="12.75">
      <c r="A712" s="369" t="s">
        <v>2403</v>
      </c>
      <c r="B712" s="369" t="s">
        <v>2400</v>
      </c>
      <c r="C712" s="369" t="s">
        <v>1037</v>
      </c>
      <c r="D712" s="372">
        <v>0</v>
      </c>
      <c r="E712" s="372">
        <v>0</v>
      </c>
      <c r="F712" s="372">
        <v>0</v>
      </c>
      <c r="G712" s="372">
        <v>0</v>
      </c>
      <c r="H712" s="372">
        <v>0</v>
      </c>
      <c r="I712" s="372">
        <v>0</v>
      </c>
      <c r="J712" s="372">
        <v>0</v>
      </c>
      <c r="K712" s="372">
        <v>0</v>
      </c>
      <c r="L712" s="372">
        <v>0</v>
      </c>
      <c r="M712" s="372">
        <v>0</v>
      </c>
      <c r="N712" s="372">
        <v>0</v>
      </c>
      <c r="O712" s="372">
        <v>0</v>
      </c>
      <c r="P712" s="372">
        <v>0</v>
      </c>
      <c r="Q712" s="372">
        <v>0</v>
      </c>
      <c r="R712" s="372">
        <v>0</v>
      </c>
      <c r="S712" s="372">
        <v>0</v>
      </c>
    </row>
    <row r="713" spans="1:19" ht="12.75">
      <c r="A713" s="369" t="s">
        <v>2241</v>
      </c>
      <c r="B713" s="369" t="s">
        <v>1890</v>
      </c>
      <c r="C713" s="369" t="s">
        <v>1038</v>
      </c>
      <c r="D713" s="372">
        <v>0</v>
      </c>
      <c r="E713" s="372">
        <v>0</v>
      </c>
      <c r="F713" s="372">
        <v>0</v>
      </c>
      <c r="G713" s="372">
        <v>1</v>
      </c>
      <c r="H713" s="372">
        <v>0</v>
      </c>
      <c r="I713" s="372">
        <v>0</v>
      </c>
      <c r="J713" s="372">
        <v>0</v>
      </c>
      <c r="K713" s="372">
        <v>0</v>
      </c>
      <c r="L713" s="372">
        <v>0</v>
      </c>
      <c r="M713" s="372">
        <v>0</v>
      </c>
      <c r="N713" s="372">
        <v>0</v>
      </c>
      <c r="O713" s="372">
        <v>0</v>
      </c>
      <c r="P713" s="372">
        <v>0</v>
      </c>
      <c r="Q713" s="372">
        <v>1</v>
      </c>
      <c r="R713" s="372">
        <v>0</v>
      </c>
      <c r="S713" s="372">
        <v>0</v>
      </c>
    </row>
    <row r="714" spans="1:19" ht="12.75">
      <c r="A714" s="369" t="s">
        <v>1733</v>
      </c>
      <c r="B714" s="369" t="s">
        <v>1891</v>
      </c>
      <c r="C714" s="369" t="s">
        <v>1039</v>
      </c>
      <c r="D714" s="372">
        <v>0</v>
      </c>
      <c r="E714" s="372">
        <v>1</v>
      </c>
      <c r="F714" s="372">
        <v>0</v>
      </c>
      <c r="G714" s="372">
        <v>0</v>
      </c>
      <c r="H714" s="372">
        <v>0</v>
      </c>
      <c r="I714" s="372">
        <v>0</v>
      </c>
      <c r="J714" s="372">
        <v>0</v>
      </c>
      <c r="K714" s="372">
        <v>1</v>
      </c>
      <c r="L714" s="372">
        <v>1</v>
      </c>
      <c r="M714" s="372">
        <v>1</v>
      </c>
      <c r="N714" s="372">
        <v>0</v>
      </c>
      <c r="O714" s="372">
        <v>0</v>
      </c>
      <c r="P714" s="372">
        <v>1</v>
      </c>
      <c r="Q714" s="372">
        <v>0</v>
      </c>
      <c r="R714" s="372">
        <v>0</v>
      </c>
      <c r="S714" s="372">
        <v>1</v>
      </c>
    </row>
    <row r="715" spans="1:19" ht="12.75">
      <c r="A715" s="369" t="s">
        <v>2459</v>
      </c>
      <c r="B715" s="369" t="s">
        <v>2404</v>
      </c>
      <c r="C715" s="369" t="s">
        <v>1040</v>
      </c>
      <c r="D715" s="372">
        <v>0</v>
      </c>
      <c r="E715" s="372">
        <v>0</v>
      </c>
      <c r="F715" s="372">
        <v>0</v>
      </c>
      <c r="G715" s="372">
        <v>0</v>
      </c>
      <c r="H715" s="372">
        <v>0</v>
      </c>
      <c r="I715" s="372">
        <v>0</v>
      </c>
      <c r="J715" s="372">
        <v>0</v>
      </c>
      <c r="K715" s="372">
        <v>0</v>
      </c>
      <c r="L715" s="372">
        <v>0</v>
      </c>
      <c r="M715" s="372">
        <v>0</v>
      </c>
      <c r="N715" s="372">
        <v>0</v>
      </c>
      <c r="O715" s="372">
        <v>0</v>
      </c>
      <c r="P715" s="372">
        <v>0</v>
      </c>
      <c r="Q715" s="372">
        <v>0</v>
      </c>
      <c r="R715" s="372">
        <v>0</v>
      </c>
      <c r="S715" s="372">
        <v>0</v>
      </c>
    </row>
    <row r="716" spans="1:19" ht="12.75">
      <c r="A716" s="369" t="s">
        <v>1734</v>
      </c>
      <c r="B716" s="369" t="s">
        <v>1892</v>
      </c>
      <c r="C716" s="369" t="s">
        <v>1041</v>
      </c>
      <c r="D716" s="372">
        <v>0</v>
      </c>
      <c r="E716" s="372">
        <v>0</v>
      </c>
      <c r="F716" s="372">
        <v>0</v>
      </c>
      <c r="G716" s="372">
        <v>0</v>
      </c>
      <c r="H716" s="372">
        <v>0</v>
      </c>
      <c r="I716" s="372">
        <v>0</v>
      </c>
      <c r="J716" s="372">
        <v>0</v>
      </c>
      <c r="K716" s="372">
        <v>0</v>
      </c>
      <c r="L716" s="372">
        <v>0</v>
      </c>
      <c r="M716" s="372">
        <v>0</v>
      </c>
      <c r="N716" s="372">
        <v>0</v>
      </c>
      <c r="O716" s="372">
        <v>0</v>
      </c>
      <c r="P716" s="372">
        <v>0</v>
      </c>
      <c r="Q716" s="372">
        <v>0</v>
      </c>
      <c r="R716" s="372">
        <v>0</v>
      </c>
      <c r="S716" s="372">
        <v>0</v>
      </c>
    </row>
    <row r="717" spans="1:19" ht="12.75">
      <c r="A717" s="369" t="s">
        <v>1735</v>
      </c>
      <c r="B717" s="369" t="s">
        <v>1265</v>
      </c>
      <c r="C717" s="369" t="s">
        <v>1042</v>
      </c>
      <c r="D717" s="372">
        <v>1</v>
      </c>
      <c r="E717" s="372">
        <v>1</v>
      </c>
      <c r="F717" s="372">
        <v>0</v>
      </c>
      <c r="G717" s="372">
        <v>0</v>
      </c>
      <c r="H717" s="372">
        <v>0</v>
      </c>
      <c r="I717" s="372">
        <v>0</v>
      </c>
      <c r="J717" s="372">
        <v>0</v>
      </c>
      <c r="K717" s="372">
        <v>1</v>
      </c>
      <c r="L717" s="372">
        <v>0</v>
      </c>
      <c r="M717" s="372">
        <v>0</v>
      </c>
      <c r="N717" s="372">
        <v>1</v>
      </c>
      <c r="O717" s="372">
        <v>0</v>
      </c>
      <c r="P717" s="372">
        <v>0</v>
      </c>
      <c r="Q717" s="372">
        <v>1</v>
      </c>
      <c r="R717" s="372">
        <v>0</v>
      </c>
      <c r="S717" s="372">
        <v>1</v>
      </c>
    </row>
    <row r="718" spans="1:19" ht="12.75">
      <c r="A718" s="369" t="s">
        <v>2461</v>
      </c>
      <c r="B718" s="369" t="s">
        <v>2460</v>
      </c>
      <c r="C718" s="369" t="s">
        <v>1043</v>
      </c>
      <c r="D718" s="372">
        <v>0</v>
      </c>
      <c r="E718" s="372">
        <v>0</v>
      </c>
      <c r="F718" s="372">
        <v>0</v>
      </c>
      <c r="G718" s="372">
        <v>0</v>
      </c>
      <c r="H718" s="372">
        <v>0</v>
      </c>
      <c r="I718" s="372">
        <v>0</v>
      </c>
      <c r="J718" s="372">
        <v>0</v>
      </c>
      <c r="K718" s="372">
        <v>0</v>
      </c>
      <c r="L718" s="372">
        <v>0</v>
      </c>
      <c r="M718" s="372">
        <v>0</v>
      </c>
      <c r="N718" s="372">
        <v>0</v>
      </c>
      <c r="O718" s="372">
        <v>0</v>
      </c>
      <c r="P718" s="372">
        <v>0</v>
      </c>
      <c r="Q718" s="372">
        <v>0</v>
      </c>
      <c r="R718" s="372">
        <v>0</v>
      </c>
      <c r="S718" s="372">
        <v>0</v>
      </c>
    </row>
    <row r="719" spans="1:19" ht="12.75">
      <c r="A719" s="369" t="s">
        <v>1188</v>
      </c>
      <c r="B719" s="369" t="s">
        <v>1450</v>
      </c>
      <c r="C719" s="369"/>
      <c r="D719" s="372">
        <v>0</v>
      </c>
      <c r="E719" s="372">
        <v>0</v>
      </c>
      <c r="F719" s="372">
        <v>0</v>
      </c>
      <c r="G719" s="372">
        <v>0</v>
      </c>
      <c r="H719" s="372">
        <v>0</v>
      </c>
      <c r="I719" s="372">
        <v>0</v>
      </c>
      <c r="J719" s="372">
        <v>0</v>
      </c>
      <c r="K719" s="372">
        <v>0</v>
      </c>
      <c r="L719" s="372">
        <v>0</v>
      </c>
      <c r="M719" s="372">
        <v>0</v>
      </c>
      <c r="N719" s="372">
        <v>0</v>
      </c>
      <c r="O719" s="372">
        <v>0</v>
      </c>
      <c r="P719" s="372">
        <v>0</v>
      </c>
      <c r="Q719" s="372">
        <v>0</v>
      </c>
      <c r="R719" s="372">
        <v>0</v>
      </c>
      <c r="S719" s="372">
        <v>0</v>
      </c>
    </row>
    <row r="720" spans="1:19" ht="12.75">
      <c r="A720" s="369" t="s">
        <v>1189</v>
      </c>
      <c r="B720" s="369" t="s">
        <v>1696</v>
      </c>
      <c r="C720" s="369"/>
      <c r="D720" s="372">
        <v>0</v>
      </c>
      <c r="E720" s="372">
        <v>0</v>
      </c>
      <c r="F720" s="372">
        <v>0</v>
      </c>
      <c r="G720" s="372">
        <v>0</v>
      </c>
      <c r="H720" s="372">
        <v>0</v>
      </c>
      <c r="I720" s="372">
        <v>0</v>
      </c>
      <c r="J720" s="372">
        <v>0</v>
      </c>
      <c r="K720" s="372">
        <v>0</v>
      </c>
      <c r="L720" s="372">
        <v>1</v>
      </c>
      <c r="M720" s="372">
        <v>0</v>
      </c>
      <c r="N720" s="372">
        <v>0</v>
      </c>
      <c r="O720" s="372">
        <v>0</v>
      </c>
      <c r="P720" s="372">
        <v>0</v>
      </c>
      <c r="Q720" s="372">
        <v>0</v>
      </c>
      <c r="R720" s="372">
        <v>0</v>
      </c>
      <c r="S720" s="372">
        <v>0</v>
      </c>
    </row>
    <row r="721" spans="1:19" ht="12.75">
      <c r="A721" s="369" t="s">
        <v>1190</v>
      </c>
      <c r="B721" s="369" t="s">
        <v>1410</v>
      </c>
      <c r="C721" s="369" t="s">
        <v>1044</v>
      </c>
      <c r="D721" s="372">
        <v>0</v>
      </c>
      <c r="E721" s="372">
        <v>0</v>
      </c>
      <c r="F721" s="372">
        <v>0</v>
      </c>
      <c r="G721" s="372">
        <v>0</v>
      </c>
      <c r="H721" s="372">
        <v>0</v>
      </c>
      <c r="I721" s="372">
        <v>0</v>
      </c>
      <c r="J721" s="372">
        <v>0</v>
      </c>
      <c r="K721" s="372">
        <v>0</v>
      </c>
      <c r="L721" s="372">
        <v>0</v>
      </c>
      <c r="M721" s="372">
        <v>0</v>
      </c>
      <c r="N721" s="372">
        <v>0</v>
      </c>
      <c r="O721" s="372">
        <v>0</v>
      </c>
      <c r="P721" s="372">
        <v>0</v>
      </c>
      <c r="Q721" s="372">
        <v>0</v>
      </c>
      <c r="R721" s="372">
        <v>0</v>
      </c>
      <c r="S721" s="372">
        <v>0</v>
      </c>
    </row>
    <row r="722" spans="1:19" ht="12.75">
      <c r="A722" s="369" t="s">
        <v>2197</v>
      </c>
      <c r="B722" s="369" t="s">
        <v>2055</v>
      </c>
      <c r="C722" s="369" t="s">
        <v>1045</v>
      </c>
      <c r="D722" s="372">
        <v>0</v>
      </c>
      <c r="E722" s="372">
        <v>0</v>
      </c>
      <c r="F722" s="372">
        <v>0</v>
      </c>
      <c r="G722" s="372">
        <v>0</v>
      </c>
      <c r="H722" s="372">
        <v>0</v>
      </c>
      <c r="I722" s="372">
        <v>0</v>
      </c>
      <c r="J722" s="372">
        <v>0</v>
      </c>
      <c r="K722" s="372">
        <v>0</v>
      </c>
      <c r="L722" s="372">
        <v>0</v>
      </c>
      <c r="M722" s="372">
        <v>0</v>
      </c>
      <c r="N722" s="372">
        <v>0</v>
      </c>
      <c r="O722" s="372">
        <v>0</v>
      </c>
      <c r="P722" s="372">
        <v>0</v>
      </c>
      <c r="Q722" s="372">
        <v>0</v>
      </c>
      <c r="R722" s="372">
        <v>0</v>
      </c>
      <c r="S722" s="372">
        <v>0</v>
      </c>
    </row>
    <row r="723" spans="1:19" ht="12.75">
      <c r="A723" s="369" t="s">
        <v>1748</v>
      </c>
      <c r="B723" s="369" t="s">
        <v>1411</v>
      </c>
      <c r="C723" s="369" t="s">
        <v>1046</v>
      </c>
      <c r="D723" s="372">
        <v>0</v>
      </c>
      <c r="E723" s="372">
        <v>0</v>
      </c>
      <c r="F723" s="372">
        <v>0</v>
      </c>
      <c r="G723" s="372">
        <v>0</v>
      </c>
      <c r="H723" s="372">
        <v>0</v>
      </c>
      <c r="I723" s="372">
        <v>0</v>
      </c>
      <c r="J723" s="372">
        <v>0</v>
      </c>
      <c r="K723" s="372">
        <v>0</v>
      </c>
      <c r="L723" s="372">
        <v>0</v>
      </c>
      <c r="M723" s="372">
        <v>0</v>
      </c>
      <c r="N723" s="372">
        <v>0</v>
      </c>
      <c r="O723" s="372">
        <v>0</v>
      </c>
      <c r="P723" s="372">
        <v>0</v>
      </c>
      <c r="Q723" s="372">
        <v>0</v>
      </c>
      <c r="R723" s="372">
        <v>0</v>
      </c>
      <c r="S723" s="372">
        <v>0</v>
      </c>
    </row>
    <row r="724" spans="1:19" ht="12.75">
      <c r="A724" s="369" t="s">
        <v>1749</v>
      </c>
      <c r="B724" s="369" t="s">
        <v>1412</v>
      </c>
      <c r="C724" s="369" t="s">
        <v>1047</v>
      </c>
      <c r="D724" s="372">
        <v>0</v>
      </c>
      <c r="E724" s="372">
        <v>0</v>
      </c>
      <c r="F724" s="372">
        <v>0</v>
      </c>
      <c r="G724" s="372">
        <v>0</v>
      </c>
      <c r="H724" s="372">
        <v>0</v>
      </c>
      <c r="I724" s="372">
        <v>0</v>
      </c>
      <c r="J724" s="372">
        <v>0</v>
      </c>
      <c r="K724" s="372">
        <v>0</v>
      </c>
      <c r="L724" s="372">
        <v>0</v>
      </c>
      <c r="M724" s="372">
        <v>0</v>
      </c>
      <c r="N724" s="372">
        <v>0</v>
      </c>
      <c r="O724" s="372">
        <v>0</v>
      </c>
      <c r="P724" s="372">
        <v>0</v>
      </c>
      <c r="Q724" s="372">
        <v>0</v>
      </c>
      <c r="R724" s="372">
        <v>0</v>
      </c>
      <c r="S724" s="372">
        <v>0</v>
      </c>
    </row>
    <row r="725" spans="1:19" ht="12.75">
      <c r="A725" s="369" t="s">
        <v>1179</v>
      </c>
      <c r="B725" s="369" t="s">
        <v>1413</v>
      </c>
      <c r="C725" s="369" t="s">
        <v>1048</v>
      </c>
      <c r="D725" s="372">
        <v>1</v>
      </c>
      <c r="E725" s="372">
        <v>0</v>
      </c>
      <c r="F725" s="372">
        <v>0</v>
      </c>
      <c r="G725" s="372">
        <v>0</v>
      </c>
      <c r="H725" s="372">
        <v>0</v>
      </c>
      <c r="I725" s="372">
        <v>1</v>
      </c>
      <c r="J725" s="372">
        <v>1</v>
      </c>
      <c r="K725" s="372">
        <v>0</v>
      </c>
      <c r="L725" s="372">
        <v>0</v>
      </c>
      <c r="M725" s="372">
        <v>0</v>
      </c>
      <c r="N725" s="372">
        <v>0</v>
      </c>
      <c r="O725" s="372">
        <v>0</v>
      </c>
      <c r="P725" s="372">
        <v>1</v>
      </c>
      <c r="Q725" s="372">
        <v>0</v>
      </c>
      <c r="R725" s="372">
        <v>0</v>
      </c>
      <c r="S725" s="372">
        <v>0</v>
      </c>
    </row>
    <row r="726" spans="1:19" ht="12.75">
      <c r="A726" s="369" t="s">
        <v>1834</v>
      </c>
      <c r="B726" s="369" t="s">
        <v>1694</v>
      </c>
      <c r="C726" s="369" t="s">
        <v>1049</v>
      </c>
      <c r="D726" s="372">
        <v>1</v>
      </c>
      <c r="E726" s="372">
        <v>1</v>
      </c>
      <c r="F726" s="372">
        <v>1</v>
      </c>
      <c r="G726" s="372">
        <v>1</v>
      </c>
      <c r="H726" s="372">
        <v>1</v>
      </c>
      <c r="I726" s="372">
        <v>1</v>
      </c>
      <c r="J726" s="372">
        <v>1</v>
      </c>
      <c r="K726" s="372">
        <v>1</v>
      </c>
      <c r="L726" s="372">
        <v>1</v>
      </c>
      <c r="M726" s="372">
        <v>1</v>
      </c>
      <c r="N726" s="372">
        <v>1</v>
      </c>
      <c r="O726" s="372">
        <v>1</v>
      </c>
      <c r="P726" s="372">
        <v>1</v>
      </c>
      <c r="Q726" s="372">
        <v>0</v>
      </c>
      <c r="R726" s="372">
        <v>1</v>
      </c>
      <c r="S726" s="372">
        <v>1</v>
      </c>
    </row>
    <row r="727" spans="1:19" ht="12.75">
      <c r="A727" s="369" t="s">
        <v>2199</v>
      </c>
      <c r="B727" s="369" t="s">
        <v>2198</v>
      </c>
      <c r="C727" s="369" t="s">
        <v>1050</v>
      </c>
      <c r="D727" s="372">
        <v>0</v>
      </c>
      <c r="E727" s="372">
        <v>0</v>
      </c>
      <c r="F727" s="372">
        <v>0</v>
      </c>
      <c r="G727" s="372">
        <v>0</v>
      </c>
      <c r="H727" s="372">
        <v>0</v>
      </c>
      <c r="I727" s="372">
        <v>0</v>
      </c>
      <c r="J727" s="372">
        <v>0</v>
      </c>
      <c r="K727" s="372">
        <v>0</v>
      </c>
      <c r="L727" s="372">
        <v>0</v>
      </c>
      <c r="M727" s="372">
        <v>0</v>
      </c>
      <c r="N727" s="372">
        <v>0</v>
      </c>
      <c r="O727" s="372">
        <v>0</v>
      </c>
      <c r="P727" s="372">
        <v>0</v>
      </c>
      <c r="Q727" s="372">
        <v>0</v>
      </c>
      <c r="R727" s="372">
        <v>0</v>
      </c>
      <c r="S727" s="372">
        <v>0</v>
      </c>
    </row>
    <row r="728" spans="1:19" ht="12.75">
      <c r="A728" s="369" t="s">
        <v>1721</v>
      </c>
      <c r="B728" s="369" t="s">
        <v>2200</v>
      </c>
      <c r="C728" s="369" t="s">
        <v>1051</v>
      </c>
      <c r="D728" s="372">
        <v>0</v>
      </c>
      <c r="E728" s="372">
        <v>0</v>
      </c>
      <c r="F728" s="372">
        <v>0</v>
      </c>
      <c r="G728" s="372">
        <v>0</v>
      </c>
      <c r="H728" s="372">
        <v>0</v>
      </c>
      <c r="I728" s="372">
        <v>0</v>
      </c>
      <c r="J728" s="372">
        <v>0</v>
      </c>
      <c r="K728" s="372">
        <v>0</v>
      </c>
      <c r="L728" s="372">
        <v>0</v>
      </c>
      <c r="M728" s="372">
        <v>0</v>
      </c>
      <c r="N728" s="372">
        <v>0</v>
      </c>
      <c r="O728" s="372">
        <v>0</v>
      </c>
      <c r="P728" s="372">
        <v>0</v>
      </c>
      <c r="Q728" s="372">
        <v>0</v>
      </c>
      <c r="R728" s="372">
        <v>0</v>
      </c>
      <c r="S728" s="372">
        <v>0</v>
      </c>
    </row>
    <row r="729" spans="1:19" ht="12.75">
      <c r="A729" s="369" t="s">
        <v>1723</v>
      </c>
      <c r="B729" s="369" t="s">
        <v>1722</v>
      </c>
      <c r="C729" s="369"/>
      <c r="D729" s="372">
        <v>0</v>
      </c>
      <c r="E729" s="372">
        <v>0</v>
      </c>
      <c r="F729" s="372">
        <v>0</v>
      </c>
      <c r="G729" s="372">
        <v>0</v>
      </c>
      <c r="H729" s="372">
        <v>0</v>
      </c>
      <c r="I729" s="372">
        <v>0</v>
      </c>
      <c r="J729" s="372">
        <v>0</v>
      </c>
      <c r="K729" s="372">
        <v>0</v>
      </c>
      <c r="L729" s="372">
        <v>0</v>
      </c>
      <c r="M729" s="372">
        <v>0</v>
      </c>
      <c r="N729" s="372">
        <v>0</v>
      </c>
      <c r="O729" s="372">
        <v>0</v>
      </c>
      <c r="P729" s="372">
        <v>0</v>
      </c>
      <c r="Q729" s="372">
        <v>0</v>
      </c>
      <c r="R729" s="372">
        <v>0</v>
      </c>
      <c r="S729" s="372">
        <v>0</v>
      </c>
    </row>
    <row r="730" spans="1:19" ht="12.75">
      <c r="A730" s="369" t="s">
        <v>1320</v>
      </c>
      <c r="B730" s="369" t="s">
        <v>1724</v>
      </c>
      <c r="C730" s="369" t="s">
        <v>1052</v>
      </c>
      <c r="D730" s="372">
        <v>0</v>
      </c>
      <c r="E730" s="372">
        <v>0</v>
      </c>
      <c r="F730" s="372">
        <v>0</v>
      </c>
      <c r="G730" s="372">
        <v>0</v>
      </c>
      <c r="H730" s="372">
        <v>0</v>
      </c>
      <c r="I730" s="372">
        <v>0</v>
      </c>
      <c r="J730" s="372">
        <v>0</v>
      </c>
      <c r="K730" s="372">
        <v>0</v>
      </c>
      <c r="L730" s="372">
        <v>0</v>
      </c>
      <c r="M730" s="372">
        <v>0</v>
      </c>
      <c r="N730" s="372">
        <v>0</v>
      </c>
      <c r="O730" s="372">
        <v>0</v>
      </c>
      <c r="P730" s="372">
        <v>0</v>
      </c>
      <c r="Q730" s="372">
        <v>0</v>
      </c>
      <c r="R730" s="372">
        <v>0</v>
      </c>
      <c r="S730" s="372">
        <v>0</v>
      </c>
    </row>
    <row r="731" spans="1:19" ht="12.75">
      <c r="A731" s="369" t="s">
        <v>1180</v>
      </c>
      <c r="B731" s="369" t="s">
        <v>1321</v>
      </c>
      <c r="C731" s="369" t="s">
        <v>1053</v>
      </c>
      <c r="D731" s="372">
        <v>0</v>
      </c>
      <c r="E731" s="372">
        <v>0</v>
      </c>
      <c r="F731" s="372">
        <v>0</v>
      </c>
      <c r="G731" s="372">
        <v>0</v>
      </c>
      <c r="H731" s="372">
        <v>0</v>
      </c>
      <c r="I731" s="372">
        <v>0</v>
      </c>
      <c r="J731" s="372">
        <v>0</v>
      </c>
      <c r="K731" s="372">
        <v>0</v>
      </c>
      <c r="L731" s="372">
        <v>0</v>
      </c>
      <c r="M731" s="372">
        <v>0</v>
      </c>
      <c r="N731" s="372">
        <v>0</v>
      </c>
      <c r="O731" s="372">
        <v>0</v>
      </c>
      <c r="P731" s="372">
        <v>0</v>
      </c>
      <c r="Q731" s="372">
        <v>0</v>
      </c>
      <c r="R731" s="372">
        <v>0</v>
      </c>
      <c r="S731" s="372">
        <v>0</v>
      </c>
    </row>
    <row r="732" spans="1:19" ht="12.75">
      <c r="A732" s="369" t="s">
        <v>1835</v>
      </c>
      <c r="B732" s="369" t="s">
        <v>1833</v>
      </c>
      <c r="C732" s="369" t="s">
        <v>1054</v>
      </c>
      <c r="D732" s="372">
        <v>1</v>
      </c>
      <c r="E732" s="372">
        <v>1</v>
      </c>
      <c r="F732" s="372">
        <v>1</v>
      </c>
      <c r="G732" s="372">
        <v>0</v>
      </c>
      <c r="H732" s="372">
        <v>0</v>
      </c>
      <c r="I732" s="372">
        <v>1</v>
      </c>
      <c r="J732" s="372">
        <v>0</v>
      </c>
      <c r="K732" s="372">
        <v>0</v>
      </c>
      <c r="L732" s="372">
        <v>0</v>
      </c>
      <c r="M732" s="372">
        <v>1</v>
      </c>
      <c r="N732" s="372">
        <v>0</v>
      </c>
      <c r="O732" s="372">
        <v>0</v>
      </c>
      <c r="P732" s="372">
        <v>0</v>
      </c>
      <c r="Q732" s="372">
        <v>0</v>
      </c>
      <c r="R732" s="372">
        <v>0</v>
      </c>
      <c r="S732" s="372">
        <v>1</v>
      </c>
    </row>
    <row r="733" spans="1:19" ht="12.75">
      <c r="A733" s="369" t="s">
        <v>21</v>
      </c>
      <c r="B733" s="369" t="s">
        <v>20</v>
      </c>
      <c r="C733" s="369" t="s">
        <v>1055</v>
      </c>
      <c r="D733" s="372">
        <v>0</v>
      </c>
      <c r="E733" s="372">
        <v>0</v>
      </c>
      <c r="F733" s="372">
        <v>0</v>
      </c>
      <c r="G733" s="372">
        <v>0</v>
      </c>
      <c r="H733" s="372">
        <v>0</v>
      </c>
      <c r="I733" s="372">
        <v>0</v>
      </c>
      <c r="J733" s="372">
        <v>0</v>
      </c>
      <c r="K733" s="372">
        <v>0</v>
      </c>
      <c r="L733" s="372">
        <v>0</v>
      </c>
      <c r="M733" s="372">
        <v>0</v>
      </c>
      <c r="N733" s="372">
        <v>0</v>
      </c>
      <c r="O733" s="372">
        <v>0</v>
      </c>
      <c r="P733" s="372">
        <v>0</v>
      </c>
      <c r="Q733" s="372">
        <v>0</v>
      </c>
      <c r="R733" s="372">
        <v>0</v>
      </c>
      <c r="S733" s="372">
        <v>0</v>
      </c>
    </row>
    <row r="734" spans="1:19" ht="12.75">
      <c r="A734" s="369" t="s">
        <v>1876</v>
      </c>
      <c r="B734" s="369" t="s">
        <v>1695</v>
      </c>
      <c r="C734" s="369" t="s">
        <v>1056</v>
      </c>
      <c r="D734" s="372">
        <v>1</v>
      </c>
      <c r="E734" s="372">
        <v>1</v>
      </c>
      <c r="F734" s="372">
        <v>0</v>
      </c>
      <c r="G734" s="372">
        <v>1</v>
      </c>
      <c r="H734" s="372">
        <v>0</v>
      </c>
      <c r="I734" s="372">
        <v>1</v>
      </c>
      <c r="J734" s="372">
        <v>0</v>
      </c>
      <c r="K734" s="372">
        <v>0</v>
      </c>
      <c r="L734" s="372">
        <v>0</v>
      </c>
      <c r="M734" s="372">
        <v>0</v>
      </c>
      <c r="N734" s="372">
        <v>0</v>
      </c>
      <c r="O734" s="372">
        <v>0</v>
      </c>
      <c r="P734" s="372">
        <v>0</v>
      </c>
      <c r="Q734" s="372">
        <v>0</v>
      </c>
      <c r="R734" s="372">
        <v>0</v>
      </c>
      <c r="S734" s="372">
        <v>0</v>
      </c>
    </row>
    <row r="735" spans="1:19" ht="12.75">
      <c r="A735" s="369" t="s">
        <v>23</v>
      </c>
      <c r="B735" s="369" t="s">
        <v>22</v>
      </c>
      <c r="C735" s="369" t="s">
        <v>1057</v>
      </c>
      <c r="D735" s="372">
        <v>0</v>
      </c>
      <c r="E735" s="372">
        <v>0</v>
      </c>
      <c r="F735" s="372">
        <v>0</v>
      </c>
      <c r="G735" s="372">
        <v>0</v>
      </c>
      <c r="H735" s="372">
        <v>0</v>
      </c>
      <c r="I735" s="372">
        <v>0</v>
      </c>
      <c r="J735" s="372">
        <v>0</v>
      </c>
      <c r="K735" s="372">
        <v>0</v>
      </c>
      <c r="L735" s="372">
        <v>0</v>
      </c>
      <c r="M735" s="372">
        <v>0</v>
      </c>
      <c r="N735" s="372">
        <v>0</v>
      </c>
      <c r="O735" s="372">
        <v>0</v>
      </c>
      <c r="P735" s="372">
        <v>0</v>
      </c>
      <c r="Q735" s="372">
        <v>0</v>
      </c>
      <c r="R735" s="372">
        <v>0</v>
      </c>
      <c r="S735" s="372">
        <v>0</v>
      </c>
    </row>
    <row r="736" spans="1:19" ht="12.75">
      <c r="A736" s="369" t="s">
        <v>1125</v>
      </c>
      <c r="B736" s="369" t="s">
        <v>1126</v>
      </c>
      <c r="C736" s="369"/>
      <c r="D736" s="372">
        <v>0</v>
      </c>
      <c r="E736" s="372">
        <v>0</v>
      </c>
      <c r="F736" s="372">
        <v>0</v>
      </c>
      <c r="G736" s="372">
        <v>0</v>
      </c>
      <c r="H736" s="372">
        <v>0</v>
      </c>
      <c r="I736" s="372">
        <v>0</v>
      </c>
      <c r="J736" s="372">
        <v>0</v>
      </c>
      <c r="K736" s="372">
        <v>0</v>
      </c>
      <c r="L736" s="372">
        <v>0</v>
      </c>
      <c r="M736" s="372">
        <v>0</v>
      </c>
      <c r="N736" s="372">
        <v>0</v>
      </c>
      <c r="O736" s="372">
        <v>0</v>
      </c>
      <c r="P736" s="372">
        <v>0</v>
      </c>
      <c r="Q736" s="372">
        <v>0</v>
      </c>
      <c r="R736" s="372">
        <v>0</v>
      </c>
      <c r="S736" s="372">
        <v>0</v>
      </c>
    </row>
    <row r="737" spans="1:19" ht="12.75">
      <c r="A737" s="369" t="s">
        <v>2411</v>
      </c>
      <c r="B737" s="369" t="s">
        <v>24</v>
      </c>
      <c r="C737" s="369" t="s">
        <v>1058</v>
      </c>
      <c r="D737" s="372">
        <v>0</v>
      </c>
      <c r="E737" s="372">
        <v>0</v>
      </c>
      <c r="F737" s="372">
        <v>0</v>
      </c>
      <c r="G737" s="372">
        <v>0</v>
      </c>
      <c r="H737" s="372">
        <v>0</v>
      </c>
      <c r="I737" s="372">
        <v>0</v>
      </c>
      <c r="J737" s="372">
        <v>0</v>
      </c>
      <c r="K737" s="372">
        <v>0</v>
      </c>
      <c r="L737" s="372">
        <v>0</v>
      </c>
      <c r="M737" s="372">
        <v>0</v>
      </c>
      <c r="N737" s="372">
        <v>0</v>
      </c>
      <c r="O737" s="372">
        <v>0</v>
      </c>
      <c r="P737" s="372">
        <v>0</v>
      </c>
      <c r="Q737" s="372">
        <v>0</v>
      </c>
      <c r="R737" s="372">
        <v>0</v>
      </c>
      <c r="S737" s="372">
        <v>0</v>
      </c>
    </row>
    <row r="738" spans="1:19" ht="12.75">
      <c r="A738" s="369" t="s">
        <v>2201</v>
      </c>
      <c r="B738" s="369" t="s">
        <v>2412</v>
      </c>
      <c r="C738" s="369" t="s">
        <v>1059</v>
      </c>
      <c r="D738" s="372">
        <v>0</v>
      </c>
      <c r="E738" s="372">
        <v>0</v>
      </c>
      <c r="F738" s="372">
        <v>0</v>
      </c>
      <c r="G738" s="372">
        <v>0</v>
      </c>
      <c r="H738" s="372">
        <v>0</v>
      </c>
      <c r="I738" s="372">
        <v>0</v>
      </c>
      <c r="J738" s="372">
        <v>0</v>
      </c>
      <c r="K738" s="372">
        <v>0</v>
      </c>
      <c r="L738" s="372">
        <v>0</v>
      </c>
      <c r="M738" s="372">
        <v>0</v>
      </c>
      <c r="N738" s="372">
        <v>0</v>
      </c>
      <c r="O738" s="372">
        <v>0</v>
      </c>
      <c r="P738" s="372">
        <v>0</v>
      </c>
      <c r="Q738" s="372">
        <v>0</v>
      </c>
      <c r="R738" s="372">
        <v>0</v>
      </c>
      <c r="S738" s="372">
        <v>0</v>
      </c>
    </row>
    <row r="739" spans="1:19" ht="12.75">
      <c r="A739" s="369" t="s">
        <v>2203</v>
      </c>
      <c r="B739" s="369" t="s">
        <v>2202</v>
      </c>
      <c r="C739" s="369" t="s">
        <v>1060</v>
      </c>
      <c r="D739" s="372">
        <v>0</v>
      </c>
      <c r="E739" s="372">
        <v>0</v>
      </c>
      <c r="F739" s="372">
        <v>0</v>
      </c>
      <c r="G739" s="372">
        <v>0</v>
      </c>
      <c r="H739" s="372">
        <v>0</v>
      </c>
      <c r="I739" s="372">
        <v>0</v>
      </c>
      <c r="J739" s="372">
        <v>0</v>
      </c>
      <c r="K739" s="372">
        <v>0</v>
      </c>
      <c r="L739" s="372">
        <v>0</v>
      </c>
      <c r="M739" s="372">
        <v>0</v>
      </c>
      <c r="N739" s="372">
        <v>0</v>
      </c>
      <c r="O739" s="372">
        <v>0</v>
      </c>
      <c r="P739" s="372">
        <v>0</v>
      </c>
      <c r="Q739" s="372">
        <v>0</v>
      </c>
      <c r="R739" s="372">
        <v>0</v>
      </c>
      <c r="S739" s="372">
        <v>0</v>
      </c>
    </row>
    <row r="740" spans="1:19" ht="12.75">
      <c r="A740" s="369" t="s">
        <v>55</v>
      </c>
      <c r="B740" s="369" t="s">
        <v>1586</v>
      </c>
      <c r="C740" s="369" t="s">
        <v>1061</v>
      </c>
      <c r="D740" s="372">
        <v>0</v>
      </c>
      <c r="E740" s="372">
        <v>0</v>
      </c>
      <c r="F740" s="372">
        <v>0</v>
      </c>
      <c r="G740" s="372">
        <v>0</v>
      </c>
      <c r="H740" s="372">
        <v>0</v>
      </c>
      <c r="I740" s="372">
        <v>0</v>
      </c>
      <c r="J740" s="372">
        <v>0</v>
      </c>
      <c r="K740" s="372">
        <v>0</v>
      </c>
      <c r="L740" s="372">
        <v>0</v>
      </c>
      <c r="M740" s="372">
        <v>0</v>
      </c>
      <c r="N740" s="372">
        <v>0</v>
      </c>
      <c r="O740" s="372">
        <v>0</v>
      </c>
      <c r="P740" s="372">
        <v>0</v>
      </c>
      <c r="Q740" s="372">
        <v>0</v>
      </c>
      <c r="R740" s="372">
        <v>0</v>
      </c>
      <c r="S740" s="372">
        <v>0</v>
      </c>
    </row>
    <row r="741" spans="1:19" ht="12.75">
      <c r="A741" s="369" t="s">
        <v>2164</v>
      </c>
      <c r="B741" s="369" t="s">
        <v>1634</v>
      </c>
      <c r="C741" s="369" t="s">
        <v>1062</v>
      </c>
      <c r="D741" s="372">
        <v>0</v>
      </c>
      <c r="E741" s="372">
        <v>0</v>
      </c>
      <c r="F741" s="372">
        <v>0</v>
      </c>
      <c r="G741" s="372">
        <v>0</v>
      </c>
      <c r="H741" s="372">
        <v>0</v>
      </c>
      <c r="I741" s="372">
        <v>0</v>
      </c>
      <c r="J741" s="372">
        <v>0</v>
      </c>
      <c r="K741" s="372">
        <v>0</v>
      </c>
      <c r="L741" s="372">
        <v>0</v>
      </c>
      <c r="M741" s="372">
        <v>0</v>
      </c>
      <c r="N741" s="372">
        <v>0</v>
      </c>
      <c r="O741" s="372">
        <v>0</v>
      </c>
      <c r="P741" s="372">
        <v>0</v>
      </c>
      <c r="Q741" s="372">
        <v>0</v>
      </c>
      <c r="R741" s="372">
        <v>0</v>
      </c>
      <c r="S741" s="372">
        <v>0</v>
      </c>
    </row>
    <row r="742" spans="1:19" ht="12.75">
      <c r="A742" s="369" t="s">
        <v>2205</v>
      </c>
      <c r="B742" s="369" t="s">
        <v>2204</v>
      </c>
      <c r="C742" s="369" t="s">
        <v>1063</v>
      </c>
      <c r="D742" s="372">
        <v>0</v>
      </c>
      <c r="E742" s="372">
        <v>0</v>
      </c>
      <c r="F742" s="372">
        <v>0</v>
      </c>
      <c r="G742" s="372">
        <v>0</v>
      </c>
      <c r="H742" s="372">
        <v>0</v>
      </c>
      <c r="I742" s="372">
        <v>0</v>
      </c>
      <c r="J742" s="372">
        <v>0</v>
      </c>
      <c r="K742" s="372">
        <v>0</v>
      </c>
      <c r="L742" s="372">
        <v>0</v>
      </c>
      <c r="M742" s="372">
        <v>0</v>
      </c>
      <c r="N742" s="372">
        <v>0</v>
      </c>
      <c r="O742" s="372">
        <v>0</v>
      </c>
      <c r="P742" s="372">
        <v>0</v>
      </c>
      <c r="Q742" s="372">
        <v>0</v>
      </c>
      <c r="R742" s="372">
        <v>0</v>
      </c>
      <c r="S742" s="372">
        <v>0</v>
      </c>
    </row>
    <row r="743" spans="1:19" ht="12.75">
      <c r="A743" s="369" t="s">
        <v>2165</v>
      </c>
      <c r="B743" s="369" t="s">
        <v>1451</v>
      </c>
      <c r="C743" s="369" t="s">
        <v>1064</v>
      </c>
      <c r="D743" s="372">
        <v>0</v>
      </c>
      <c r="E743" s="372">
        <v>0</v>
      </c>
      <c r="F743" s="372">
        <v>0</v>
      </c>
      <c r="G743" s="372">
        <v>0</v>
      </c>
      <c r="H743" s="372">
        <v>0</v>
      </c>
      <c r="I743" s="372">
        <v>0</v>
      </c>
      <c r="J743" s="372">
        <v>0</v>
      </c>
      <c r="K743" s="372">
        <v>0</v>
      </c>
      <c r="L743" s="372">
        <v>0</v>
      </c>
      <c r="M743" s="372">
        <v>0</v>
      </c>
      <c r="N743" s="372">
        <v>0</v>
      </c>
      <c r="O743" s="372">
        <v>0</v>
      </c>
      <c r="P743" s="372">
        <v>0</v>
      </c>
      <c r="Q743" s="372">
        <v>0</v>
      </c>
      <c r="R743" s="372">
        <v>0</v>
      </c>
      <c r="S743" s="372">
        <v>0</v>
      </c>
    </row>
    <row r="744" spans="1:19" ht="12.75">
      <c r="A744" s="369" t="s">
        <v>2086</v>
      </c>
      <c r="B744" s="369" t="s">
        <v>2206</v>
      </c>
      <c r="C744" s="369"/>
      <c r="D744" s="372">
        <v>0</v>
      </c>
      <c r="E744" s="372">
        <v>0</v>
      </c>
      <c r="F744" s="372">
        <v>0</v>
      </c>
      <c r="G744" s="372">
        <v>0</v>
      </c>
      <c r="H744" s="372">
        <v>0</v>
      </c>
      <c r="I744" s="372">
        <v>0</v>
      </c>
      <c r="J744" s="372">
        <v>0</v>
      </c>
      <c r="K744" s="372">
        <v>0</v>
      </c>
      <c r="L744" s="372">
        <v>0</v>
      </c>
      <c r="M744" s="372">
        <v>0</v>
      </c>
      <c r="N744" s="372">
        <v>0</v>
      </c>
      <c r="O744" s="372">
        <v>0</v>
      </c>
      <c r="P744" s="372">
        <v>0</v>
      </c>
      <c r="Q744" s="372">
        <v>0</v>
      </c>
      <c r="R744" s="372">
        <v>0</v>
      </c>
      <c r="S744" s="372">
        <v>0</v>
      </c>
    </row>
    <row r="745" spans="1:19" ht="12.75">
      <c r="A745" s="369" t="s">
        <v>1770</v>
      </c>
      <c r="B745" s="369" t="s">
        <v>1324</v>
      </c>
      <c r="C745" s="369"/>
      <c r="D745" s="372">
        <v>0</v>
      </c>
      <c r="E745" s="372">
        <v>0</v>
      </c>
      <c r="F745" s="372">
        <v>0</v>
      </c>
      <c r="G745" s="372">
        <v>0</v>
      </c>
      <c r="H745" s="372">
        <v>0</v>
      </c>
      <c r="I745" s="372">
        <v>0</v>
      </c>
      <c r="J745" s="372">
        <v>0</v>
      </c>
      <c r="K745" s="372">
        <v>0</v>
      </c>
      <c r="L745" s="372">
        <v>0</v>
      </c>
      <c r="M745" s="372">
        <v>0</v>
      </c>
      <c r="N745" s="372">
        <v>0</v>
      </c>
      <c r="O745" s="372">
        <v>0</v>
      </c>
      <c r="P745" s="372">
        <v>0</v>
      </c>
      <c r="Q745" s="372">
        <v>0</v>
      </c>
      <c r="R745" s="372">
        <v>0</v>
      </c>
      <c r="S745" s="372">
        <v>0</v>
      </c>
    </row>
    <row r="746" spans="1:19" ht="12.75">
      <c r="A746" s="369" t="s">
        <v>2042</v>
      </c>
      <c r="B746" s="369" t="s">
        <v>1146</v>
      </c>
      <c r="C746" s="369" t="s">
        <v>1065</v>
      </c>
      <c r="D746" s="372">
        <v>0</v>
      </c>
      <c r="E746" s="372">
        <v>0</v>
      </c>
      <c r="F746" s="372">
        <v>0</v>
      </c>
      <c r="G746" s="372">
        <v>0</v>
      </c>
      <c r="H746" s="372">
        <v>0</v>
      </c>
      <c r="I746" s="372">
        <v>0</v>
      </c>
      <c r="J746" s="372">
        <v>0</v>
      </c>
      <c r="K746" s="372">
        <v>0</v>
      </c>
      <c r="L746" s="372">
        <v>0</v>
      </c>
      <c r="M746" s="372">
        <v>0</v>
      </c>
      <c r="N746" s="372">
        <v>0</v>
      </c>
      <c r="O746" s="372">
        <v>0</v>
      </c>
      <c r="P746" s="372">
        <v>0</v>
      </c>
      <c r="Q746" s="372">
        <v>0</v>
      </c>
      <c r="R746" s="372">
        <v>0</v>
      </c>
      <c r="S746" s="372">
        <v>0</v>
      </c>
    </row>
    <row r="747" spans="1:19" ht="12.75">
      <c r="A747" s="369" t="s">
        <v>2043</v>
      </c>
      <c r="B747" s="369" t="s">
        <v>1635</v>
      </c>
      <c r="C747" s="369" t="s">
        <v>1066</v>
      </c>
      <c r="D747" s="372">
        <v>0</v>
      </c>
      <c r="E747" s="372">
        <v>0</v>
      </c>
      <c r="F747" s="372">
        <v>0</v>
      </c>
      <c r="G747" s="372">
        <v>0</v>
      </c>
      <c r="H747" s="372">
        <v>0</v>
      </c>
      <c r="I747" s="372">
        <v>0</v>
      </c>
      <c r="J747" s="372">
        <v>0</v>
      </c>
      <c r="K747" s="372">
        <v>0</v>
      </c>
      <c r="L747" s="372">
        <v>0</v>
      </c>
      <c r="M747" s="372">
        <v>0</v>
      </c>
      <c r="N747" s="372">
        <v>0</v>
      </c>
      <c r="O747" s="372">
        <v>0</v>
      </c>
      <c r="P747" s="372">
        <v>0</v>
      </c>
      <c r="Q747" s="372">
        <v>0</v>
      </c>
      <c r="R747" s="372">
        <v>0</v>
      </c>
      <c r="S747" s="372">
        <v>0</v>
      </c>
    </row>
    <row r="748" spans="1:19" ht="12.75">
      <c r="A748" s="369" t="s">
        <v>1127</v>
      </c>
      <c r="B748" s="369" t="s">
        <v>1128</v>
      </c>
      <c r="C748" s="369"/>
      <c r="D748" s="372">
        <v>0</v>
      </c>
      <c r="E748" s="372">
        <v>0</v>
      </c>
      <c r="F748" s="372">
        <v>0</v>
      </c>
      <c r="G748" s="372">
        <v>0</v>
      </c>
      <c r="H748" s="372">
        <v>0</v>
      </c>
      <c r="I748" s="372">
        <v>0</v>
      </c>
      <c r="J748" s="372">
        <v>0</v>
      </c>
      <c r="K748" s="372">
        <v>0</v>
      </c>
      <c r="L748" s="372">
        <v>0</v>
      </c>
      <c r="M748" s="372">
        <v>0</v>
      </c>
      <c r="N748" s="372">
        <v>0</v>
      </c>
      <c r="O748" s="372">
        <v>0</v>
      </c>
      <c r="P748" s="372">
        <v>0</v>
      </c>
      <c r="Q748" s="372">
        <v>0</v>
      </c>
      <c r="R748" s="372">
        <v>0</v>
      </c>
      <c r="S748" s="372">
        <v>0</v>
      </c>
    </row>
    <row r="749" spans="1:19" ht="12.75">
      <c r="A749" s="369" t="s">
        <v>2044</v>
      </c>
      <c r="B749" s="369" t="s">
        <v>1636</v>
      </c>
      <c r="C749" s="369" t="s">
        <v>1067</v>
      </c>
      <c r="D749" s="372">
        <v>1</v>
      </c>
      <c r="E749" s="372">
        <v>1</v>
      </c>
      <c r="F749" s="372">
        <v>0</v>
      </c>
      <c r="G749" s="372">
        <v>1</v>
      </c>
      <c r="H749" s="372">
        <v>1</v>
      </c>
      <c r="I749" s="372">
        <v>1</v>
      </c>
      <c r="J749" s="372">
        <v>1</v>
      </c>
      <c r="K749" s="372">
        <v>1</v>
      </c>
      <c r="L749" s="372">
        <v>1</v>
      </c>
      <c r="M749" s="372">
        <v>1</v>
      </c>
      <c r="N749" s="372">
        <v>1</v>
      </c>
      <c r="O749" s="372">
        <v>1</v>
      </c>
      <c r="P749" s="372">
        <v>1</v>
      </c>
      <c r="Q749" s="372">
        <v>0</v>
      </c>
      <c r="R749" s="372">
        <v>1</v>
      </c>
      <c r="S749" s="372">
        <v>0</v>
      </c>
    </row>
    <row r="750" spans="1:19" ht="12.75">
      <c r="A750" s="369" t="s">
        <v>2045</v>
      </c>
      <c r="B750" s="369" t="s">
        <v>1145</v>
      </c>
      <c r="C750" s="369" t="s">
        <v>1068</v>
      </c>
      <c r="D750" s="372">
        <v>0</v>
      </c>
      <c r="E750" s="372">
        <v>0</v>
      </c>
      <c r="F750" s="372">
        <v>0</v>
      </c>
      <c r="G750" s="372">
        <v>0</v>
      </c>
      <c r="H750" s="372">
        <v>0</v>
      </c>
      <c r="I750" s="372">
        <v>0</v>
      </c>
      <c r="J750" s="372">
        <v>0</v>
      </c>
      <c r="K750" s="372">
        <v>0</v>
      </c>
      <c r="L750" s="372">
        <v>0</v>
      </c>
      <c r="M750" s="372">
        <v>0</v>
      </c>
      <c r="N750" s="372">
        <v>0</v>
      </c>
      <c r="O750" s="372">
        <v>0</v>
      </c>
      <c r="P750" s="372">
        <v>0</v>
      </c>
      <c r="Q750" s="372">
        <v>1</v>
      </c>
      <c r="R750" s="372">
        <v>0</v>
      </c>
      <c r="S750" s="372">
        <v>0</v>
      </c>
    </row>
    <row r="751" spans="1:19" ht="12.75">
      <c r="A751" s="369" t="s">
        <v>1282</v>
      </c>
      <c r="B751" s="369" t="s">
        <v>1281</v>
      </c>
      <c r="C751" s="369" t="s">
        <v>1069</v>
      </c>
      <c r="D751" s="372">
        <v>0</v>
      </c>
      <c r="E751" s="372">
        <v>0</v>
      </c>
      <c r="F751" s="372">
        <v>0</v>
      </c>
      <c r="G751" s="372">
        <v>0</v>
      </c>
      <c r="H751" s="372">
        <v>0</v>
      </c>
      <c r="I751" s="372">
        <v>0</v>
      </c>
      <c r="J751" s="372">
        <v>0</v>
      </c>
      <c r="K751" s="372">
        <v>0</v>
      </c>
      <c r="L751" s="372">
        <v>0</v>
      </c>
      <c r="M751" s="372">
        <v>0</v>
      </c>
      <c r="N751" s="372">
        <v>0</v>
      </c>
      <c r="O751" s="372">
        <v>0</v>
      </c>
      <c r="P751" s="372">
        <v>0</v>
      </c>
      <c r="Q751" s="372">
        <v>0</v>
      </c>
      <c r="R751" s="372">
        <v>0</v>
      </c>
      <c r="S751" s="372">
        <v>0</v>
      </c>
    </row>
    <row r="752" spans="1:19" ht="12.75">
      <c r="A752" s="369" t="s">
        <v>1284</v>
      </c>
      <c r="B752" s="369" t="s">
        <v>1283</v>
      </c>
      <c r="C752" s="369" t="s">
        <v>1070</v>
      </c>
      <c r="D752" s="372">
        <v>0</v>
      </c>
      <c r="E752" s="372">
        <v>0</v>
      </c>
      <c r="F752" s="372">
        <v>0</v>
      </c>
      <c r="G752" s="372">
        <v>0</v>
      </c>
      <c r="H752" s="372">
        <v>0</v>
      </c>
      <c r="I752" s="372">
        <v>0</v>
      </c>
      <c r="J752" s="372">
        <v>0</v>
      </c>
      <c r="K752" s="372">
        <v>0</v>
      </c>
      <c r="L752" s="372">
        <v>0</v>
      </c>
      <c r="M752" s="372">
        <v>0</v>
      </c>
      <c r="N752" s="372">
        <v>0</v>
      </c>
      <c r="O752" s="372">
        <v>0</v>
      </c>
      <c r="P752" s="372">
        <v>0</v>
      </c>
      <c r="Q752" s="372">
        <v>0</v>
      </c>
      <c r="R752" s="372">
        <v>0</v>
      </c>
      <c r="S752" s="372">
        <v>0</v>
      </c>
    </row>
    <row r="753" spans="1:19" ht="12.75">
      <c r="A753" s="369" t="s">
        <v>2046</v>
      </c>
      <c r="B753" s="369" t="s">
        <v>1637</v>
      </c>
      <c r="C753" s="369" t="s">
        <v>1071</v>
      </c>
      <c r="D753" s="372">
        <v>0</v>
      </c>
      <c r="E753" s="372">
        <v>0</v>
      </c>
      <c r="F753" s="372">
        <v>0</v>
      </c>
      <c r="G753" s="372">
        <v>0</v>
      </c>
      <c r="H753" s="372">
        <v>0</v>
      </c>
      <c r="I753" s="372">
        <v>0</v>
      </c>
      <c r="J753" s="372">
        <v>0</v>
      </c>
      <c r="K753" s="372">
        <v>0</v>
      </c>
      <c r="L753" s="372">
        <v>0</v>
      </c>
      <c r="M753" s="372">
        <v>1</v>
      </c>
      <c r="N753" s="372">
        <v>1</v>
      </c>
      <c r="O753" s="372">
        <v>0</v>
      </c>
      <c r="P753" s="372">
        <v>1</v>
      </c>
      <c r="Q753" s="372">
        <v>0</v>
      </c>
      <c r="R753" s="372">
        <v>1</v>
      </c>
      <c r="S753" s="372">
        <v>1</v>
      </c>
    </row>
    <row r="754" spans="1:19" ht="12.75">
      <c r="A754" s="369" t="s">
        <v>2047</v>
      </c>
      <c r="B754" s="369" t="s">
        <v>2266</v>
      </c>
      <c r="C754" s="369" t="s">
        <v>1072</v>
      </c>
      <c r="D754" s="372">
        <v>0</v>
      </c>
      <c r="E754" s="372">
        <v>0</v>
      </c>
      <c r="F754" s="372">
        <v>0</v>
      </c>
      <c r="G754" s="372">
        <v>0</v>
      </c>
      <c r="H754" s="372">
        <v>0</v>
      </c>
      <c r="I754" s="372">
        <v>0</v>
      </c>
      <c r="J754" s="372">
        <v>0</v>
      </c>
      <c r="K754" s="372">
        <v>0</v>
      </c>
      <c r="L754" s="372">
        <v>0</v>
      </c>
      <c r="M754" s="372">
        <v>1</v>
      </c>
      <c r="N754" s="372">
        <v>0</v>
      </c>
      <c r="O754" s="372">
        <v>0</v>
      </c>
      <c r="P754" s="372">
        <v>0</v>
      </c>
      <c r="Q754" s="372">
        <v>0</v>
      </c>
      <c r="R754" s="372">
        <v>0</v>
      </c>
      <c r="S754" s="372">
        <v>0</v>
      </c>
    </row>
    <row r="755" spans="1:19" ht="12.75">
      <c r="A755" s="369" t="s">
        <v>2048</v>
      </c>
      <c r="B755" s="369" t="s">
        <v>2267</v>
      </c>
      <c r="C755" s="369" t="s">
        <v>1073</v>
      </c>
      <c r="D755" s="372">
        <v>0</v>
      </c>
      <c r="E755" s="372">
        <v>0</v>
      </c>
      <c r="F755" s="372">
        <v>0</v>
      </c>
      <c r="G755" s="372">
        <v>1</v>
      </c>
      <c r="H755" s="372">
        <v>0</v>
      </c>
      <c r="I755" s="372">
        <v>0</v>
      </c>
      <c r="J755" s="372">
        <v>0</v>
      </c>
      <c r="K755" s="372">
        <v>0</v>
      </c>
      <c r="L755" s="372">
        <v>0</v>
      </c>
      <c r="M755" s="372">
        <v>0</v>
      </c>
      <c r="N755" s="372">
        <v>0</v>
      </c>
      <c r="O755" s="372">
        <v>0</v>
      </c>
      <c r="P755" s="372">
        <v>0</v>
      </c>
      <c r="Q755" s="372">
        <v>1</v>
      </c>
      <c r="R755" s="372">
        <v>0</v>
      </c>
      <c r="S755" s="372">
        <v>0</v>
      </c>
    </row>
    <row r="756" spans="1:19" ht="12.75">
      <c r="A756" s="369" t="s">
        <v>1241</v>
      </c>
      <c r="B756" s="369" t="s">
        <v>1285</v>
      </c>
      <c r="C756" s="369"/>
      <c r="D756" s="372">
        <v>0</v>
      </c>
      <c r="E756" s="372">
        <v>0</v>
      </c>
      <c r="F756" s="372">
        <v>0</v>
      </c>
      <c r="G756" s="372">
        <v>0</v>
      </c>
      <c r="H756" s="372">
        <v>0</v>
      </c>
      <c r="I756" s="372">
        <v>0</v>
      </c>
      <c r="J756" s="372">
        <v>0</v>
      </c>
      <c r="K756" s="372">
        <v>0</v>
      </c>
      <c r="L756" s="372">
        <v>0</v>
      </c>
      <c r="M756" s="372">
        <v>0</v>
      </c>
      <c r="N756" s="372">
        <v>0</v>
      </c>
      <c r="O756" s="372">
        <v>0</v>
      </c>
      <c r="P756" s="372">
        <v>0</v>
      </c>
      <c r="Q756" s="372">
        <v>0</v>
      </c>
      <c r="R756" s="372">
        <v>0</v>
      </c>
      <c r="S756" s="372">
        <v>0</v>
      </c>
    </row>
    <row r="757" spans="1:19" ht="12.75">
      <c r="A757" s="369" t="s">
        <v>1243</v>
      </c>
      <c r="B757" s="369" t="s">
        <v>1242</v>
      </c>
      <c r="C757" s="369" t="s">
        <v>1074</v>
      </c>
      <c r="D757" s="372">
        <v>0</v>
      </c>
      <c r="E757" s="372">
        <v>0</v>
      </c>
      <c r="F757" s="372">
        <v>0</v>
      </c>
      <c r="G757" s="372">
        <v>0</v>
      </c>
      <c r="H757" s="372">
        <v>0</v>
      </c>
      <c r="I757" s="372">
        <v>0</v>
      </c>
      <c r="J757" s="372">
        <v>0</v>
      </c>
      <c r="K757" s="372">
        <v>0</v>
      </c>
      <c r="L757" s="372">
        <v>0</v>
      </c>
      <c r="M757" s="372">
        <v>0</v>
      </c>
      <c r="N757" s="372">
        <v>0</v>
      </c>
      <c r="O757" s="372">
        <v>0</v>
      </c>
      <c r="P757" s="372">
        <v>0</v>
      </c>
      <c r="Q757" s="372">
        <v>0</v>
      </c>
      <c r="R757" s="372">
        <v>0</v>
      </c>
      <c r="S757" s="372">
        <v>0</v>
      </c>
    </row>
    <row r="758" spans="1:19" ht="12.75">
      <c r="A758" s="369" t="s">
        <v>111</v>
      </c>
      <c r="B758" s="369" t="s">
        <v>1244</v>
      </c>
      <c r="C758" s="369" t="s">
        <v>1075</v>
      </c>
      <c r="D758" s="372">
        <v>0</v>
      </c>
      <c r="E758" s="372">
        <v>0</v>
      </c>
      <c r="F758" s="372">
        <v>0</v>
      </c>
      <c r="G758" s="372">
        <v>0</v>
      </c>
      <c r="H758" s="372">
        <v>0</v>
      </c>
      <c r="I758" s="372">
        <v>0</v>
      </c>
      <c r="J758" s="372">
        <v>0</v>
      </c>
      <c r="K758" s="372">
        <v>0</v>
      </c>
      <c r="L758" s="372">
        <v>1</v>
      </c>
      <c r="M758" s="372">
        <v>0</v>
      </c>
      <c r="N758" s="372">
        <v>0</v>
      </c>
      <c r="O758" s="372">
        <v>0</v>
      </c>
      <c r="P758" s="372">
        <v>0</v>
      </c>
      <c r="Q758" s="372">
        <v>0</v>
      </c>
      <c r="R758" s="372">
        <v>0</v>
      </c>
      <c r="S758" s="372">
        <v>0</v>
      </c>
    </row>
    <row r="759" spans="1:19" ht="12.75">
      <c r="A759" s="369" t="s">
        <v>1476</v>
      </c>
      <c r="B759" s="369" t="s">
        <v>2268</v>
      </c>
      <c r="C759" s="369" t="s">
        <v>1076</v>
      </c>
      <c r="D759" s="372">
        <v>1</v>
      </c>
      <c r="E759" s="372">
        <v>1</v>
      </c>
      <c r="F759" s="372">
        <v>1</v>
      </c>
      <c r="G759" s="372">
        <v>1</v>
      </c>
      <c r="H759" s="372">
        <v>1</v>
      </c>
      <c r="I759" s="372">
        <v>1</v>
      </c>
      <c r="J759" s="372">
        <v>1</v>
      </c>
      <c r="K759" s="372">
        <v>0</v>
      </c>
      <c r="L759" s="372">
        <v>1</v>
      </c>
      <c r="M759" s="372">
        <v>1</v>
      </c>
      <c r="N759" s="372">
        <v>1</v>
      </c>
      <c r="O759" s="372">
        <v>1</v>
      </c>
      <c r="P759" s="372">
        <v>1</v>
      </c>
      <c r="Q759" s="372">
        <v>1</v>
      </c>
      <c r="R759" s="372">
        <v>1</v>
      </c>
      <c r="S759" s="372">
        <v>1</v>
      </c>
    </row>
    <row r="760" spans="1:19" ht="12.75">
      <c r="A760" s="369" t="s">
        <v>1246</v>
      </c>
      <c r="B760" s="369" t="s">
        <v>1245</v>
      </c>
      <c r="C760" s="369" t="s">
        <v>1077</v>
      </c>
      <c r="D760" s="372">
        <v>0</v>
      </c>
      <c r="E760" s="372">
        <v>0</v>
      </c>
      <c r="F760" s="372">
        <v>0</v>
      </c>
      <c r="G760" s="372">
        <v>0</v>
      </c>
      <c r="H760" s="372">
        <v>0</v>
      </c>
      <c r="I760" s="372">
        <v>0</v>
      </c>
      <c r="J760" s="372">
        <v>0</v>
      </c>
      <c r="K760" s="372">
        <v>0</v>
      </c>
      <c r="L760" s="372">
        <v>0</v>
      </c>
      <c r="M760" s="372">
        <v>0</v>
      </c>
      <c r="N760" s="372">
        <v>0</v>
      </c>
      <c r="O760" s="372">
        <v>0</v>
      </c>
      <c r="P760" s="372">
        <v>0</v>
      </c>
      <c r="Q760" s="372">
        <v>0</v>
      </c>
      <c r="R760" s="372">
        <v>0</v>
      </c>
      <c r="S760" s="372">
        <v>0</v>
      </c>
    </row>
    <row r="761" spans="1:19" ht="12.75">
      <c r="A761" s="369" t="s">
        <v>1248</v>
      </c>
      <c r="B761" s="369" t="s">
        <v>1247</v>
      </c>
      <c r="C761" s="369" t="s">
        <v>1078</v>
      </c>
      <c r="D761" s="372">
        <v>0</v>
      </c>
      <c r="E761" s="372">
        <v>0</v>
      </c>
      <c r="F761" s="372">
        <v>0</v>
      </c>
      <c r="G761" s="372">
        <v>0</v>
      </c>
      <c r="H761" s="372">
        <v>0</v>
      </c>
      <c r="I761" s="372">
        <v>0</v>
      </c>
      <c r="J761" s="372">
        <v>0</v>
      </c>
      <c r="K761" s="372">
        <v>0</v>
      </c>
      <c r="L761" s="372">
        <v>0</v>
      </c>
      <c r="M761" s="372">
        <v>0</v>
      </c>
      <c r="N761" s="372">
        <v>0</v>
      </c>
      <c r="O761" s="372">
        <v>0</v>
      </c>
      <c r="P761" s="372">
        <v>0</v>
      </c>
      <c r="Q761" s="372">
        <v>0</v>
      </c>
      <c r="R761" s="372">
        <v>0</v>
      </c>
      <c r="S761" s="372">
        <v>0</v>
      </c>
    </row>
    <row r="762" spans="1:19" ht="12.75">
      <c r="A762" s="369" t="s">
        <v>1477</v>
      </c>
      <c r="B762" s="369" t="s">
        <v>1985</v>
      </c>
      <c r="C762" s="369" t="s">
        <v>1079</v>
      </c>
      <c r="D762" s="372">
        <v>0</v>
      </c>
      <c r="E762" s="372">
        <v>0</v>
      </c>
      <c r="F762" s="372">
        <v>0</v>
      </c>
      <c r="G762" s="372">
        <v>0</v>
      </c>
      <c r="H762" s="372">
        <v>0</v>
      </c>
      <c r="I762" s="372">
        <v>1</v>
      </c>
      <c r="J762" s="372">
        <v>1</v>
      </c>
      <c r="K762" s="372">
        <v>1</v>
      </c>
      <c r="L762" s="372">
        <v>1</v>
      </c>
      <c r="M762" s="372">
        <v>0</v>
      </c>
      <c r="N762" s="372">
        <v>1</v>
      </c>
      <c r="O762" s="372">
        <v>0</v>
      </c>
      <c r="P762" s="372">
        <v>1</v>
      </c>
      <c r="Q762" s="372">
        <v>1</v>
      </c>
      <c r="R762" s="372">
        <v>0</v>
      </c>
      <c r="S762" s="372">
        <v>0</v>
      </c>
    </row>
    <row r="763" spans="1:19" ht="12.75">
      <c r="A763" s="369" t="s">
        <v>1478</v>
      </c>
      <c r="B763" s="369" t="s">
        <v>2325</v>
      </c>
      <c r="C763" s="369" t="s">
        <v>1080</v>
      </c>
      <c r="D763" s="372">
        <v>0</v>
      </c>
      <c r="E763" s="372">
        <v>0</v>
      </c>
      <c r="F763" s="372">
        <v>0</v>
      </c>
      <c r="G763" s="372">
        <v>1</v>
      </c>
      <c r="H763" s="372">
        <v>1</v>
      </c>
      <c r="I763" s="372">
        <v>0</v>
      </c>
      <c r="J763" s="372">
        <v>0</v>
      </c>
      <c r="K763" s="372">
        <v>0</v>
      </c>
      <c r="L763" s="372">
        <v>0</v>
      </c>
      <c r="M763" s="372">
        <v>1</v>
      </c>
      <c r="N763" s="372">
        <v>0</v>
      </c>
      <c r="O763" s="372">
        <v>1</v>
      </c>
      <c r="P763" s="372">
        <v>0</v>
      </c>
      <c r="Q763" s="372">
        <v>0</v>
      </c>
      <c r="R763" s="372">
        <v>0</v>
      </c>
      <c r="S763" s="372">
        <v>1</v>
      </c>
    </row>
    <row r="764" spans="1:19" ht="12.75">
      <c r="A764" s="369" t="s">
        <v>1837</v>
      </c>
      <c r="B764" s="369" t="s">
        <v>2040</v>
      </c>
      <c r="C764" s="369" t="s">
        <v>1081</v>
      </c>
      <c r="D764" s="372">
        <v>0</v>
      </c>
      <c r="E764" s="372">
        <v>0</v>
      </c>
      <c r="F764" s="372">
        <v>0</v>
      </c>
      <c r="G764" s="372">
        <v>0</v>
      </c>
      <c r="H764" s="372">
        <v>0</v>
      </c>
      <c r="I764" s="372">
        <v>0</v>
      </c>
      <c r="J764" s="372">
        <v>0</v>
      </c>
      <c r="K764" s="372">
        <v>0</v>
      </c>
      <c r="L764" s="372">
        <v>0</v>
      </c>
      <c r="M764" s="372">
        <v>0</v>
      </c>
      <c r="N764" s="372">
        <v>0</v>
      </c>
      <c r="O764" s="372">
        <v>0</v>
      </c>
      <c r="P764" s="372">
        <v>0</v>
      </c>
      <c r="Q764" s="372">
        <v>0</v>
      </c>
      <c r="R764" s="372">
        <v>0</v>
      </c>
      <c r="S764" s="372">
        <v>0</v>
      </c>
    </row>
    <row r="765" spans="1:19" ht="12.75">
      <c r="A765" s="369" t="s">
        <v>1838</v>
      </c>
      <c r="B765" s="369" t="s">
        <v>2041</v>
      </c>
      <c r="C765" s="369" t="s">
        <v>1082</v>
      </c>
      <c r="D765" s="372">
        <v>0</v>
      </c>
      <c r="E765" s="372">
        <v>0</v>
      </c>
      <c r="F765" s="372">
        <v>0</v>
      </c>
      <c r="G765" s="372">
        <v>0</v>
      </c>
      <c r="H765" s="372">
        <v>0</v>
      </c>
      <c r="I765" s="372">
        <v>0</v>
      </c>
      <c r="J765" s="372">
        <v>0</v>
      </c>
      <c r="K765" s="372">
        <v>0</v>
      </c>
      <c r="L765" s="372">
        <v>0</v>
      </c>
      <c r="M765" s="372">
        <v>0</v>
      </c>
      <c r="N765" s="372">
        <v>0</v>
      </c>
      <c r="O765" s="372">
        <v>0</v>
      </c>
      <c r="P765" s="372">
        <v>0</v>
      </c>
      <c r="Q765" s="372">
        <v>0</v>
      </c>
      <c r="R765" s="372">
        <v>0</v>
      </c>
      <c r="S765" s="372">
        <v>0</v>
      </c>
    </row>
    <row r="766" spans="1:19" ht="12.75">
      <c r="A766" s="369" t="s">
        <v>1839</v>
      </c>
      <c r="B766" s="369" t="s">
        <v>1354</v>
      </c>
      <c r="C766" s="369" t="s">
        <v>1083</v>
      </c>
      <c r="D766" s="372">
        <v>0</v>
      </c>
      <c r="E766" s="372">
        <v>0</v>
      </c>
      <c r="F766" s="372">
        <v>0</v>
      </c>
      <c r="G766" s="372">
        <v>0</v>
      </c>
      <c r="H766" s="372">
        <v>0</v>
      </c>
      <c r="I766" s="372">
        <v>0</v>
      </c>
      <c r="J766" s="372">
        <v>0</v>
      </c>
      <c r="K766" s="372">
        <v>1</v>
      </c>
      <c r="L766" s="372">
        <v>0</v>
      </c>
      <c r="M766" s="372">
        <v>0</v>
      </c>
      <c r="N766" s="372">
        <v>1</v>
      </c>
      <c r="O766" s="372">
        <v>0</v>
      </c>
      <c r="P766" s="372">
        <v>0</v>
      </c>
      <c r="Q766" s="372">
        <v>0</v>
      </c>
      <c r="R766" s="372">
        <v>0</v>
      </c>
      <c r="S766" s="372">
        <v>0</v>
      </c>
    </row>
    <row r="767" spans="1:19" ht="12.75">
      <c r="A767" s="369" t="s">
        <v>64</v>
      </c>
      <c r="B767" s="369" t="s">
        <v>1249</v>
      </c>
      <c r="C767" s="369" t="s">
        <v>1084</v>
      </c>
      <c r="D767" s="372">
        <v>0</v>
      </c>
      <c r="E767" s="372">
        <v>0</v>
      </c>
      <c r="F767" s="372">
        <v>0</v>
      </c>
      <c r="G767" s="372">
        <v>0</v>
      </c>
      <c r="H767" s="372">
        <v>0</v>
      </c>
      <c r="I767" s="372">
        <v>0</v>
      </c>
      <c r="J767" s="372">
        <v>0</v>
      </c>
      <c r="K767" s="372">
        <v>0</v>
      </c>
      <c r="L767" s="372">
        <v>0</v>
      </c>
      <c r="M767" s="372">
        <v>0</v>
      </c>
      <c r="N767" s="372">
        <v>0</v>
      </c>
      <c r="O767" s="372">
        <v>0</v>
      </c>
      <c r="P767" s="372">
        <v>0</v>
      </c>
      <c r="Q767" s="372">
        <v>0</v>
      </c>
      <c r="R767" s="372">
        <v>0</v>
      </c>
      <c r="S767" s="372">
        <v>0</v>
      </c>
    </row>
    <row r="768" spans="1:19" ht="12.75">
      <c r="A768" s="369" t="s">
        <v>1549</v>
      </c>
      <c r="B768" s="369" t="s">
        <v>1355</v>
      </c>
      <c r="C768" s="369" t="s">
        <v>1085</v>
      </c>
      <c r="D768" s="372">
        <v>0</v>
      </c>
      <c r="E768" s="372">
        <v>0</v>
      </c>
      <c r="F768" s="372">
        <v>0</v>
      </c>
      <c r="G768" s="372">
        <v>0</v>
      </c>
      <c r="H768" s="372">
        <v>0</v>
      </c>
      <c r="I768" s="372">
        <v>0</v>
      </c>
      <c r="J768" s="372">
        <v>0</v>
      </c>
      <c r="K768" s="372">
        <v>0</v>
      </c>
      <c r="L768" s="372">
        <v>0</v>
      </c>
      <c r="M768" s="372">
        <v>0</v>
      </c>
      <c r="N768" s="372">
        <v>0</v>
      </c>
      <c r="O768" s="372">
        <v>0</v>
      </c>
      <c r="P768" s="372">
        <v>0</v>
      </c>
      <c r="Q768" s="372">
        <v>0</v>
      </c>
      <c r="R768" s="372">
        <v>0</v>
      </c>
      <c r="S768" s="372">
        <v>0</v>
      </c>
    </row>
    <row r="769" spans="1:19" ht="12.75">
      <c r="A769" s="369" t="s">
        <v>2306</v>
      </c>
      <c r="B769" s="369" t="s">
        <v>2053</v>
      </c>
      <c r="C769" s="369" t="s">
        <v>1086</v>
      </c>
      <c r="D769" s="372">
        <v>0</v>
      </c>
      <c r="E769" s="372">
        <v>0</v>
      </c>
      <c r="F769" s="372">
        <v>0</v>
      </c>
      <c r="G769" s="372">
        <v>0</v>
      </c>
      <c r="H769" s="372">
        <v>0</v>
      </c>
      <c r="I769" s="372">
        <v>0</v>
      </c>
      <c r="J769" s="372">
        <v>0</v>
      </c>
      <c r="K769" s="372">
        <v>0</v>
      </c>
      <c r="L769" s="372">
        <v>0</v>
      </c>
      <c r="M769" s="372">
        <v>0</v>
      </c>
      <c r="N769" s="372">
        <v>0</v>
      </c>
      <c r="O769" s="372">
        <v>0</v>
      </c>
      <c r="P769" s="372">
        <v>0</v>
      </c>
      <c r="Q769" s="372">
        <v>0</v>
      </c>
      <c r="R769" s="372">
        <v>0</v>
      </c>
      <c r="S769" s="372">
        <v>0</v>
      </c>
    </row>
    <row r="770" spans="1:19" ht="12.75">
      <c r="A770" s="369" t="s">
        <v>2307</v>
      </c>
      <c r="B770" s="369" t="s">
        <v>2054</v>
      </c>
      <c r="C770" s="369" t="s">
        <v>1087</v>
      </c>
      <c r="D770" s="372">
        <v>0</v>
      </c>
      <c r="E770" s="372">
        <v>0</v>
      </c>
      <c r="F770" s="372">
        <v>0</v>
      </c>
      <c r="G770" s="372">
        <v>0</v>
      </c>
      <c r="H770" s="372">
        <v>0</v>
      </c>
      <c r="I770" s="372">
        <v>0</v>
      </c>
      <c r="J770" s="372">
        <v>0</v>
      </c>
      <c r="K770" s="372">
        <v>0</v>
      </c>
      <c r="L770" s="372">
        <v>0</v>
      </c>
      <c r="M770" s="372">
        <v>0</v>
      </c>
      <c r="N770" s="372">
        <v>0</v>
      </c>
      <c r="O770" s="372">
        <v>0</v>
      </c>
      <c r="P770" s="372">
        <v>0</v>
      </c>
      <c r="Q770" s="372">
        <v>0</v>
      </c>
      <c r="R770" s="372">
        <v>0</v>
      </c>
      <c r="S770" s="372">
        <v>0</v>
      </c>
    </row>
    <row r="771" spans="1:19" ht="12.75">
      <c r="A771" s="369" t="s">
        <v>66</v>
      </c>
      <c r="B771" s="369" t="s">
        <v>65</v>
      </c>
      <c r="C771" s="369" t="s">
        <v>1088</v>
      </c>
      <c r="D771" s="372">
        <v>0</v>
      </c>
      <c r="E771" s="372">
        <v>0</v>
      </c>
      <c r="F771" s="372">
        <v>0</v>
      </c>
      <c r="G771" s="372">
        <v>0</v>
      </c>
      <c r="H771" s="372">
        <v>0</v>
      </c>
      <c r="I771" s="372">
        <v>0</v>
      </c>
      <c r="J771" s="372">
        <v>0</v>
      </c>
      <c r="K771" s="372">
        <v>0</v>
      </c>
      <c r="L771" s="372">
        <v>0</v>
      </c>
      <c r="M771" s="372">
        <v>0</v>
      </c>
      <c r="N771" s="372">
        <v>0</v>
      </c>
      <c r="O771" s="372">
        <v>0</v>
      </c>
      <c r="P771" s="372">
        <v>0</v>
      </c>
      <c r="Q771" s="372">
        <v>0</v>
      </c>
      <c r="R771" s="372">
        <v>0</v>
      </c>
      <c r="S771" s="372">
        <v>0</v>
      </c>
    </row>
  </sheetData>
  <sheetProtection password="CF39" sheet="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julietl</dc:creator>
  <cp:keywords/>
  <dc:description/>
  <cp:lastModifiedBy>julietl</cp:lastModifiedBy>
  <cp:lastPrinted>2012-11-07T12:17:22Z</cp:lastPrinted>
  <dcterms:created xsi:type="dcterms:W3CDTF">2007-08-21T14:53:49Z</dcterms:created>
  <dcterms:modified xsi:type="dcterms:W3CDTF">2013-07-05T08:53:02Z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