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structions" sheetId="1" r:id="rId1"/>
    <sheet name="Impairment Calculation" sheetId="2" r:id="rId2"/>
    <sheet name="Data" sheetId="3" r:id="rId3"/>
    <sheet name="Landsbanki" sheetId="4" r:id="rId4"/>
  </sheets>
  <definedNames>
    <definedName name="BankCol">'Data'!$B$1:$G$3</definedName>
    <definedName name="BankName">'Data'!$B$1:$G$1</definedName>
    <definedName name="PayDates">'Data'!$A$4:$G$29</definedName>
    <definedName name="solver_adj" localSheetId="3" hidden="1">'Landsbanki'!#REF!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'Landsbanki'!#REF!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3</definedName>
    <definedName name="solver_val" localSheetId="3" hidden="1">0.57</definedName>
  </definedNames>
  <calcPr fullCalcOnLoad="1"/>
</workbook>
</file>

<file path=xl/sharedStrings.xml><?xml version="1.0" encoding="utf-8"?>
<sst xmlns="http://schemas.openxmlformats.org/spreadsheetml/2006/main" count="143" uniqueCount="130">
  <si>
    <t>Instructions for using the spreadsheet</t>
  </si>
  <si>
    <t>Select the Impairment Calculation worksheet.  This can be copied if required.</t>
  </si>
  <si>
    <t>Reference</t>
  </si>
  <si>
    <t>Interest Credits to Income &amp; Expenditure Account</t>
  </si>
  <si>
    <t>Bank</t>
  </si>
  <si>
    <t>2010/11</t>
  </si>
  <si>
    <t>2011/12</t>
  </si>
  <si>
    <t>2012/13</t>
  </si>
  <si>
    <t>2013/14</t>
  </si>
  <si>
    <t>Claim Date:</t>
  </si>
  <si>
    <t>Total</t>
  </si>
  <si>
    <t>Impairment</t>
  </si>
  <si>
    <t>Recoverable amount</t>
  </si>
  <si>
    <t>Annual Interest Rate</t>
  </si>
  <si>
    <t>Monthly Equivalent</t>
  </si>
  <si>
    <t>Repayment Schedule:</t>
  </si>
  <si>
    <t>Final</t>
  </si>
  <si>
    <t>Discount Table</t>
  </si>
  <si>
    <t>Cash Flows</t>
  </si>
  <si>
    <t>Carrying Amounts</t>
  </si>
  <si>
    <t>Month</t>
  </si>
  <si>
    <t>Factor</t>
  </si>
  <si>
    <t>Repayments</t>
  </si>
  <si>
    <t>Discounted Amount</t>
  </si>
  <si>
    <t>Carrying Amount (start)</t>
  </si>
  <si>
    <t>Interest Accrued</t>
  </si>
  <si>
    <t>Reapyments</t>
  </si>
  <si>
    <t>Carrying Amount (end)</t>
  </si>
  <si>
    <t>Heritable</t>
  </si>
  <si>
    <t>KSF</t>
  </si>
  <si>
    <t>The spreadsheet will calculate the recoverable amount, the amount to be charged to the Income and</t>
  </si>
  <si>
    <t>Expenditure Account in respect of the revised accounting estimate and the interest estimated to be</t>
  </si>
  <si>
    <t>credited to the Income and Expenditure Account for the financial years 2010/11 to 2018/19.</t>
  </si>
  <si>
    <t>2014/15</t>
  </si>
  <si>
    <t>2015/16</t>
  </si>
  <si>
    <t>2016/17</t>
  </si>
  <si>
    <t>2017/18</t>
  </si>
  <si>
    <t>2018/19</t>
  </si>
  <si>
    <t>Note that this spreadsheet is intended to assist in the assessment of the carrying amount of the</t>
  </si>
  <si>
    <t>completed before the recoverable amount is reassessed (e.g. interest has been credited to the</t>
  </si>
  <si>
    <t>Income and Expenditure Account, repayments have been credited to the carrying amount).</t>
  </si>
  <si>
    <t>Glitnir (No Priority)</t>
  </si>
  <si>
    <t>Glitnir (Priority)</t>
  </si>
  <si>
    <t>Landsbanki (No Priority)</t>
  </si>
  <si>
    <t>Landsbanki (Priority)</t>
  </si>
  <si>
    <t>Financial model of Landsbanki recoveries</t>
  </si>
  <si>
    <t>Information on assets at 31 December 2009</t>
  </si>
  <si>
    <t>ISK</t>
  </si>
  <si>
    <t>USD</t>
  </si>
  <si>
    <t>EUR</t>
  </si>
  <si>
    <t>GBP</t>
  </si>
  <si>
    <t>CAD</t>
  </si>
  <si>
    <t>Other</t>
  </si>
  <si>
    <t>Figures in ISK bn</t>
  </si>
  <si>
    <t>Cash</t>
  </si>
  <si>
    <t>Loans to customers</t>
  </si>
  <si>
    <t>Bonds and equities</t>
  </si>
  <si>
    <t>Derivatives</t>
  </si>
  <si>
    <t>Other assets</t>
  </si>
  <si>
    <t>Total excluding Compensation instrument</t>
  </si>
  <si>
    <t>Compensation instrument - equity</t>
  </si>
  <si>
    <t>Compensation instrument - bond + accrued interest</t>
  </si>
  <si>
    <t>Total assets</t>
  </si>
  <si>
    <t>Calculation of approximate interest rate on bond</t>
  </si>
  <si>
    <t>Original ISK value of bond</t>
  </si>
  <si>
    <t>31.12.09 ISK value of bond</t>
  </si>
  <si>
    <t>Therefore average value</t>
  </si>
  <si>
    <t>Interest (15 months)</t>
  </si>
  <si>
    <t>Therefore approximate interest rate</t>
  </si>
  <si>
    <t>ISK exchange rates</t>
  </si>
  <si>
    <t>Exchange rate issues</t>
  </si>
  <si>
    <t>Euro</t>
  </si>
  <si>
    <t>US$</t>
  </si>
  <si>
    <t>£</t>
  </si>
  <si>
    <t>Therefore approximate value of bond:</t>
  </si>
  <si>
    <t>In original currency</t>
  </si>
  <si>
    <t>Euro bn</t>
  </si>
  <si>
    <t>US $ bn</t>
  </si>
  <si>
    <t>£ bn</t>
  </si>
  <si>
    <t>Check - equivalent in ISK bn</t>
  </si>
  <si>
    <t>Equivalent in sterling £bn</t>
  </si>
  <si>
    <t>Bond values (£bn)</t>
  </si>
  <si>
    <t>A bond</t>
  </si>
  <si>
    <t>Contingent A bond / equity</t>
  </si>
  <si>
    <t>Bond cashflows (£bn)</t>
  </si>
  <si>
    <t>Interest</t>
  </si>
  <si>
    <t>Repayments of principal</t>
  </si>
  <si>
    <t>ISKbn</t>
  </si>
  <si>
    <t xml:space="preserve">translates to </t>
  </si>
  <si>
    <t>bn</t>
  </si>
  <si>
    <t>Non-cash</t>
  </si>
  <si>
    <t>Estimated realisation of assets (£bn)</t>
  </si>
  <si>
    <t>Income</t>
  </si>
  <si>
    <t>Cash from Bond (above)</t>
  </si>
  <si>
    <t>Total cash at year end</t>
  </si>
  <si>
    <t>less distributions</t>
  </si>
  <si>
    <t>Cash carried forward</t>
  </si>
  <si>
    <t xml:space="preserve">Plus final value of non-cash </t>
  </si>
  <si>
    <t>Value of liabilities</t>
  </si>
  <si>
    <t>£bn</t>
  </si>
  <si>
    <t>Recovery %</t>
  </si>
  <si>
    <t>Potential priority - wholesale and retail deposits</t>
  </si>
  <si>
    <t>Exchange rate 22/4/09</t>
  </si>
  <si>
    <t>Total excluding subordinated bonds</t>
  </si>
  <si>
    <t>Distribution percentages</t>
  </si>
  <si>
    <t>Priority</t>
  </si>
  <si>
    <t>Non priority</t>
  </si>
  <si>
    <t>deposits as at 31 March 2010.  It therefore assumes all other entries for 2009/10 have been</t>
  </si>
  <si>
    <t>Where authorities have a number of deposits at risk, they may wish to record a reference number for</t>
  </si>
  <si>
    <t>maturity date earlier than 22 April 2009, the claim should include interest up to 22 April 2009 at the</t>
  </si>
  <si>
    <t>contractual rate.</t>
  </si>
  <si>
    <t>recoverable percentages and the claim date.  Where a deposit in either Glitnir or Landsbanki had a</t>
  </si>
  <si>
    <t>each deposit.  The following data should then be input into the spreadsheet as follow:</t>
  </si>
  <si>
    <t>Deposit: the amount originally invested</t>
  </si>
  <si>
    <t>Deposit</t>
  </si>
  <si>
    <t>Amounts:</t>
  </si>
  <si>
    <t>Amounts: Two amounts need to be entered.  The claim amount as at the claim date (the date will be</t>
  </si>
  <si>
    <t>populated when the bank is selected ) is required as the repayment amounts will be based on this figure.</t>
  </si>
  <si>
    <t>carrying amount as at 31 March 2010 is the carrying amount as at 31 March 2009, plus interest credited</t>
  </si>
  <si>
    <t>to the Income and Expenditure Account in 2009/10, less any repayments received in 2009/10, ie prior to</t>
  </si>
  <si>
    <t>This figure comprises the principal deposited and interest accrued but unpaid to the claim date. The</t>
  </si>
  <si>
    <t>any adjustment to the impairment required in 2009/2010. The difference between the carrying amount at</t>
  </si>
  <si>
    <t>31 March 2010 and the revised recoverable amount will be the amount of the adjustment to the</t>
  </si>
  <si>
    <t>impairment that should be recognised in 2009/10.</t>
  </si>
  <si>
    <t>(prior to impairment)</t>
  </si>
  <si>
    <t>The original effective interest rate of the deposit should be entered as this is the rate at which the cash</t>
  </si>
  <si>
    <t>flows are to be discounted when calculating the recoverable amount.</t>
  </si>
  <si>
    <t>Original EIR</t>
  </si>
  <si>
    <t>Bank: Select the appropriate bank from the drop-down list - note that for Glitnir and Landsbanki, priority</t>
  </si>
  <si>
    <t>and no priority scenarios are provided (see paragraphs 40 - 48 of Update 2).  This will populate the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</si>
</sst>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 mmmm\ yyyy;@"/>
    <numFmt numFmtId="165" formatCode="dd\ mmmm\ yyyy"/>
    <numFmt numFmtId="166" formatCode="0.0000%"/>
    <numFmt numFmtId="167" formatCode="_-* #,##0.00_-;\-* #,##0.00_-;_-* \-??_-;_-@_-"/>
    <numFmt numFmtId="168" formatCode="mmmm\ yyyy"/>
    <numFmt numFmtId="169" formatCode="0.000000"/>
    <numFmt numFmtId="170" formatCode="mmm\-yyyy"/>
    <numFmt numFmtId="171" formatCode="0.000%"/>
    <numFmt numFmtId="172" formatCode="0.0%"/>
    <numFmt numFmtId="173" formatCode="0.0"/>
    <numFmt numFmtId="174" formatCode="0.000"/>
    <numFmt numFmtId="175" formatCode="0.00000%"/>
    <numFmt numFmtId="176" formatCode="0.000000%"/>
    <numFmt numFmtId="177" formatCode="0.0000000%"/>
    <numFmt numFmtId="178" formatCode="0.00000000%"/>
    <numFmt numFmtId="179" formatCode="0.000000000%"/>
    <numFmt numFmtId="180" formatCode="0.0000000000%"/>
    <numFmt numFmtId="181" formatCode="0.00000000000%"/>
    <numFmt numFmtId="182" formatCode="&quot;£&quot;#,##0.000"/>
    <numFmt numFmtId="183" formatCode="&quot;£&quot;#,##0.00"/>
  </numFmts>
  <fonts count="42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left"/>
    </xf>
    <xf numFmtId="4" fontId="2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16" fontId="2" fillId="0" borderId="12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9" fontId="2" fillId="0" borderId="0" xfId="0" applyNumberFormat="1" applyFont="1" applyBorder="1" applyAlignment="1">
      <alignment horizontal="left"/>
    </xf>
    <xf numFmtId="0" fontId="0" fillId="0" borderId="12" xfId="0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5" xfId="0" applyNumberFormat="1" applyFont="1" applyBorder="1" applyAlignment="1">
      <alignment/>
    </xf>
    <xf numFmtId="17" fontId="0" fillId="0" borderId="0" xfId="0" applyNumberFormat="1" applyAlignment="1">
      <alignment/>
    </xf>
    <xf numFmtId="166" fontId="0" fillId="0" borderId="0" xfId="60" applyNumberFormat="1" applyFont="1" applyFill="1" applyBorder="1" applyAlignment="1" applyProtection="1">
      <alignment/>
      <protection/>
    </xf>
    <xf numFmtId="167" fontId="0" fillId="0" borderId="0" xfId="0" applyNumberFormat="1" applyAlignment="1">
      <alignment/>
    </xf>
    <xf numFmtId="17" fontId="0" fillId="0" borderId="0" xfId="0" applyNumberFormat="1" applyBorder="1" applyAlignment="1">
      <alignment/>
    </xf>
    <xf numFmtId="12" fontId="0" fillId="0" borderId="0" xfId="0" applyNumberFormat="1" applyAlignment="1">
      <alignment horizontal="left"/>
    </xf>
    <xf numFmtId="168" fontId="0" fillId="0" borderId="0" xfId="0" applyNumberFormat="1" applyAlignment="1">
      <alignment horizontal="left"/>
    </xf>
    <xf numFmtId="10" fontId="0" fillId="0" borderId="0" xfId="6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" fontId="2" fillId="0" borderId="0" xfId="0" applyNumberFormat="1" applyFont="1" applyAlignment="1">
      <alignment/>
    </xf>
    <xf numFmtId="16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12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10" fontId="0" fillId="0" borderId="0" xfId="0" applyNumberFormat="1" applyAlignment="1">
      <alignment/>
    </xf>
    <xf numFmtId="0" fontId="7" fillId="0" borderId="0" xfId="57" applyFont="1">
      <alignment/>
      <protection/>
    </xf>
    <xf numFmtId="0" fontId="1" fillId="0" borderId="0" xfId="57">
      <alignment/>
      <protection/>
    </xf>
    <xf numFmtId="0" fontId="1" fillId="0" borderId="0" xfId="57" applyAlignment="1">
      <alignment horizontal="right"/>
      <protection/>
    </xf>
    <xf numFmtId="0" fontId="1" fillId="0" borderId="16" xfId="57" applyBorder="1">
      <alignment/>
      <protection/>
    </xf>
    <xf numFmtId="0" fontId="1" fillId="0" borderId="0" xfId="57" applyFill="1" applyBorder="1">
      <alignment/>
      <protection/>
    </xf>
    <xf numFmtId="0" fontId="1" fillId="0" borderId="17" xfId="57" applyBorder="1">
      <alignment/>
      <protection/>
    </xf>
    <xf numFmtId="172" fontId="1" fillId="0" borderId="0" xfId="57" applyNumberFormat="1">
      <alignment/>
      <protection/>
    </xf>
    <xf numFmtId="15" fontId="1" fillId="0" borderId="0" xfId="57" applyNumberFormat="1">
      <alignment/>
      <protection/>
    </xf>
    <xf numFmtId="9" fontId="1" fillId="0" borderId="0" xfId="57" applyNumberFormat="1">
      <alignment/>
      <protection/>
    </xf>
    <xf numFmtId="173" fontId="1" fillId="0" borderId="0" xfId="57" applyNumberFormat="1">
      <alignment/>
      <protection/>
    </xf>
    <xf numFmtId="1" fontId="1" fillId="0" borderId="0" xfId="57" applyNumberFormat="1">
      <alignment/>
      <protection/>
    </xf>
    <xf numFmtId="174" fontId="1" fillId="0" borderId="0" xfId="57" applyNumberFormat="1">
      <alignment/>
      <protection/>
    </xf>
    <xf numFmtId="0" fontId="1" fillId="0" borderId="0" xfId="57" applyBorder="1">
      <alignment/>
      <protection/>
    </xf>
    <xf numFmtId="0" fontId="7" fillId="0" borderId="0" xfId="57" applyFont="1" applyAlignment="1">
      <alignment horizontal="right"/>
      <protection/>
    </xf>
    <xf numFmtId="0" fontId="7" fillId="0" borderId="0" xfId="57" applyFont="1" applyBorder="1" applyAlignment="1">
      <alignment horizontal="center"/>
      <protection/>
    </xf>
    <xf numFmtId="0" fontId="7" fillId="0" borderId="0" xfId="57" applyFont="1" applyBorder="1">
      <alignment/>
      <protection/>
    </xf>
    <xf numFmtId="174" fontId="1" fillId="0" borderId="0" xfId="57" applyNumberFormat="1" applyBorder="1">
      <alignment/>
      <protection/>
    </xf>
    <xf numFmtId="2" fontId="1" fillId="0" borderId="0" xfId="57" applyNumberFormat="1" applyBorder="1">
      <alignment/>
      <protection/>
    </xf>
    <xf numFmtId="0" fontId="7" fillId="0" borderId="0" xfId="57" applyFont="1" applyFill="1" applyBorder="1">
      <alignment/>
      <protection/>
    </xf>
    <xf numFmtId="174" fontId="1" fillId="0" borderId="17" xfId="57" applyNumberFormat="1" applyBorder="1">
      <alignment/>
      <protection/>
    </xf>
    <xf numFmtId="182" fontId="1" fillId="0" borderId="0" xfId="57" applyNumberFormat="1">
      <alignment/>
      <protection/>
    </xf>
    <xf numFmtId="0" fontId="1" fillId="0" borderId="0" xfId="57" applyAlignment="1">
      <alignment horizontal="center"/>
      <protection/>
    </xf>
    <xf numFmtId="10" fontId="1" fillId="0" borderId="0" xfId="57" applyNumberFormat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 applyProtection="1">
      <alignment/>
      <protection locked="0"/>
    </xf>
    <xf numFmtId="0" fontId="2" fillId="0" borderId="18" xfId="0" applyFont="1" applyBorder="1" applyAlignment="1">
      <alignment/>
    </xf>
    <xf numFmtId="0" fontId="0" fillId="33" borderId="19" xfId="0" applyFill="1" applyBorder="1" applyAlignment="1" applyProtection="1">
      <alignment/>
      <protection locked="0"/>
    </xf>
    <xf numFmtId="4" fontId="0" fillId="33" borderId="19" xfId="0" applyNumberFormat="1" applyFill="1" applyBorder="1" applyAlignment="1" applyProtection="1">
      <alignment/>
      <protection locked="0"/>
    </xf>
    <xf numFmtId="0" fontId="2" fillId="0" borderId="18" xfId="0" applyFont="1" applyBorder="1" applyAlignment="1" quotePrefix="1">
      <alignment horizontal="left"/>
    </xf>
    <xf numFmtId="164" fontId="2" fillId="33" borderId="18" xfId="0" applyNumberFormat="1" applyFont="1" applyFill="1" applyBorder="1" applyAlignment="1" applyProtection="1">
      <alignment horizontal="left"/>
      <protection locked="0"/>
    </xf>
    <xf numFmtId="4" fontId="0" fillId="33" borderId="19" xfId="0" applyNumberFormat="1" applyFont="1" applyFill="1" applyBorder="1" applyAlignment="1" applyProtection="1">
      <alignment/>
      <protection locked="0"/>
    </xf>
    <xf numFmtId="165" fontId="2" fillId="0" borderId="18" xfId="0" applyNumberFormat="1" applyFont="1" applyBorder="1" applyAlignment="1">
      <alignment horizontal="left"/>
    </xf>
    <xf numFmtId="10" fontId="0" fillId="33" borderId="19" xfId="0" applyNumberFormat="1" applyFill="1" applyBorder="1" applyAlignment="1" applyProtection="1">
      <alignment/>
      <protection locked="0"/>
    </xf>
    <xf numFmtId="0" fontId="2" fillId="0" borderId="23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GA Analysis of Landsbanki Recoveri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5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92.66015625" style="0" customWidth="1"/>
    <col min="2" max="2" width="15.83203125" style="0" customWidth="1"/>
  </cols>
  <sheetData>
    <row r="1" ht="12.75">
      <c r="A1" s="1" t="s">
        <v>0</v>
      </c>
    </row>
    <row r="3" ht="13.5">
      <c r="A3" s="34" t="s">
        <v>38</v>
      </c>
    </row>
    <row r="4" ht="13.5">
      <c r="A4" s="35" t="s">
        <v>107</v>
      </c>
    </row>
    <row r="5" ht="13.5">
      <c r="A5" s="35" t="s">
        <v>39</v>
      </c>
    </row>
    <row r="6" ht="13.5">
      <c r="A6" s="35" t="s">
        <v>40</v>
      </c>
    </row>
    <row r="8" ht="12.75">
      <c r="A8" t="s">
        <v>1</v>
      </c>
    </row>
    <row r="10" ht="12.75">
      <c r="A10" s="29" t="s">
        <v>108</v>
      </c>
    </row>
    <row r="11" ht="12.75">
      <c r="A11" s="29" t="s">
        <v>112</v>
      </c>
    </row>
    <row r="13" ht="12.75">
      <c r="A13" s="29" t="s">
        <v>128</v>
      </c>
    </row>
    <row r="14" ht="12.75">
      <c r="A14" s="29" t="s">
        <v>129</v>
      </c>
    </row>
    <row r="15" ht="12.75">
      <c r="A15" s="29" t="s">
        <v>111</v>
      </c>
    </row>
    <row r="16" ht="12.75">
      <c r="A16" s="29" t="s">
        <v>109</v>
      </c>
    </row>
    <row r="17" ht="12.75">
      <c r="A17" s="29" t="s">
        <v>110</v>
      </c>
    </row>
    <row r="19" ht="12.75">
      <c r="A19" s="29" t="s">
        <v>113</v>
      </c>
    </row>
    <row r="21" ht="12.75">
      <c r="A21" s="29" t="s">
        <v>116</v>
      </c>
    </row>
    <row r="22" ht="12.75">
      <c r="A22" s="2" t="s">
        <v>117</v>
      </c>
    </row>
    <row r="23" ht="12.75">
      <c r="A23" s="29" t="s">
        <v>120</v>
      </c>
    </row>
    <row r="24" ht="12.75">
      <c r="A24" s="29" t="s">
        <v>118</v>
      </c>
    </row>
    <row r="25" ht="12.75">
      <c r="A25" s="29" t="s">
        <v>119</v>
      </c>
    </row>
    <row r="26" ht="12.75">
      <c r="A26" s="29" t="s">
        <v>121</v>
      </c>
    </row>
    <row r="27" ht="12.75">
      <c r="A27" s="29" t="s">
        <v>122</v>
      </c>
    </row>
    <row r="28" ht="12.75">
      <c r="A28" s="32" t="s">
        <v>123</v>
      </c>
    </row>
    <row r="29" ht="12.75">
      <c r="A29" s="29"/>
    </row>
    <row r="30" ht="12.75">
      <c r="A30" s="29" t="s">
        <v>125</v>
      </c>
    </row>
    <row r="31" ht="12.75">
      <c r="A31" s="2" t="s">
        <v>126</v>
      </c>
    </row>
    <row r="33" ht="12.75">
      <c r="A33" s="29" t="s">
        <v>30</v>
      </c>
    </row>
    <row r="34" ht="12.75">
      <c r="A34" s="29" t="s">
        <v>31</v>
      </c>
    </row>
    <row r="35" ht="12.75">
      <c r="A35" s="29" t="s">
        <v>32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5"/>
  <sheetViews>
    <sheetView zoomScalePageLayoutView="0" workbookViewId="0" topLeftCell="A1">
      <selection activeCell="B1" sqref="B1"/>
    </sheetView>
  </sheetViews>
  <sheetFormatPr defaultColWidth="9.33203125" defaultRowHeight="12.75"/>
  <cols>
    <col min="1" max="1" width="20.66015625" style="0" customWidth="1"/>
    <col min="2" max="2" width="23" style="0" customWidth="1"/>
    <col min="4" max="4" width="11.16015625" style="0" customWidth="1"/>
    <col min="5" max="5" width="19.33203125" style="0" customWidth="1"/>
    <col min="6" max="6" width="29.5" style="0" customWidth="1"/>
    <col min="7" max="7" width="14.16015625" style="0" customWidth="1"/>
    <col min="8" max="8" width="23" style="0" customWidth="1"/>
    <col min="9" max="9" width="17" style="0" customWidth="1"/>
    <col min="10" max="10" width="13.66015625" style="0" customWidth="1"/>
    <col min="11" max="11" width="22.33203125" style="0" customWidth="1"/>
    <col min="13" max="13" width="17.16015625" style="0" customWidth="1"/>
  </cols>
  <sheetData>
    <row r="1" spans="1:7" ht="12.75">
      <c r="A1" s="63" t="s">
        <v>2</v>
      </c>
      <c r="B1" s="64"/>
      <c r="D1" s="4"/>
      <c r="E1" s="3" t="s">
        <v>3</v>
      </c>
      <c r="F1" s="5"/>
      <c r="G1" s="4"/>
    </row>
    <row r="2" spans="1:7" ht="12.75">
      <c r="A2" s="65"/>
      <c r="B2" s="61"/>
      <c r="D2" s="4"/>
      <c r="E2" s="6"/>
      <c r="F2" s="8"/>
      <c r="G2" s="4"/>
    </row>
    <row r="3" spans="1:7" ht="12.75">
      <c r="A3" s="65" t="s">
        <v>4</v>
      </c>
      <c r="B3" s="66"/>
      <c r="D3" s="4"/>
      <c r="E3" s="12" t="s">
        <v>5</v>
      </c>
      <c r="F3" s="10">
        <f>SUM(I49:I60)</f>
        <v>0</v>
      </c>
      <c r="G3" s="4"/>
    </row>
    <row r="4" spans="1:7" ht="12.75">
      <c r="A4" s="65"/>
      <c r="B4" s="61"/>
      <c r="D4" s="4"/>
      <c r="E4" s="9" t="s">
        <v>6</v>
      </c>
      <c r="F4" s="10">
        <f>SUM(I61:I72)</f>
        <v>0</v>
      </c>
      <c r="G4" s="4"/>
    </row>
    <row r="5" spans="1:7" ht="12.75">
      <c r="A5" s="65" t="s">
        <v>114</v>
      </c>
      <c r="B5" s="67"/>
      <c r="D5" s="4"/>
      <c r="E5" s="9" t="s">
        <v>7</v>
      </c>
      <c r="F5" s="10">
        <f>SUM(I73:I84)</f>
        <v>0</v>
      </c>
      <c r="G5" s="4"/>
    </row>
    <row r="6" spans="1:7" ht="12.75">
      <c r="A6" s="65"/>
      <c r="B6" s="61"/>
      <c r="D6" s="13"/>
      <c r="E6" s="6" t="s">
        <v>8</v>
      </c>
      <c r="F6" s="10">
        <f>SUM(I85:I96)</f>
        <v>0</v>
      </c>
      <c r="G6" s="13"/>
    </row>
    <row r="7" spans="1:7" ht="12.75">
      <c r="A7" s="68" t="s">
        <v>115</v>
      </c>
      <c r="B7" s="61"/>
      <c r="D7" s="13"/>
      <c r="E7" s="33" t="s">
        <v>33</v>
      </c>
      <c r="F7" s="10">
        <f>SUM(I97:I108)</f>
        <v>0</v>
      </c>
      <c r="G7" s="14"/>
    </row>
    <row r="8" spans="1:7" ht="12.75">
      <c r="A8" s="65"/>
      <c r="B8" s="61"/>
      <c r="D8" s="13"/>
      <c r="E8" s="9" t="s">
        <v>34</v>
      </c>
      <c r="F8" s="10">
        <f>SUM(I109:I120)</f>
        <v>0</v>
      </c>
      <c r="G8" s="14"/>
    </row>
    <row r="9" spans="1:7" ht="12.75">
      <c r="A9" s="65" t="s">
        <v>9</v>
      </c>
      <c r="B9" s="61"/>
      <c r="D9" s="4"/>
      <c r="E9" s="9" t="s">
        <v>35</v>
      </c>
      <c r="F9" s="10">
        <f>SUM(I121:I132)</f>
        <v>0</v>
      </c>
      <c r="G9" s="4"/>
    </row>
    <row r="10" spans="1:7" ht="12.75">
      <c r="A10" s="69">
        <f>IF(ISNA(HLOOKUP(B3,BankCol,2)),"",HLOOKUP(B3,BankCol,2))</f>
      </c>
      <c r="B10" s="70"/>
      <c r="D10" s="4"/>
      <c r="E10" s="9" t="s">
        <v>36</v>
      </c>
      <c r="F10" s="10">
        <f>SUM(I133:I144)</f>
        <v>0</v>
      </c>
      <c r="G10" s="4"/>
    </row>
    <row r="11" spans="1:7" ht="12.75">
      <c r="A11" s="65"/>
      <c r="B11" s="61"/>
      <c r="D11" s="4"/>
      <c r="E11" s="9" t="s">
        <v>37</v>
      </c>
      <c r="F11" s="10">
        <f>SUM(I145:I153)</f>
        <v>0</v>
      </c>
      <c r="G11" s="4"/>
    </row>
    <row r="12" spans="1:7" ht="12.75">
      <c r="A12" s="71">
        <v>40268</v>
      </c>
      <c r="B12" s="70"/>
      <c r="D12" s="4"/>
      <c r="E12" s="9"/>
      <c r="F12" s="10"/>
      <c r="G12" s="4"/>
    </row>
    <row r="13" spans="1:6" ht="12.75">
      <c r="A13" s="65" t="s">
        <v>124</v>
      </c>
      <c r="B13" s="61"/>
      <c r="E13" s="6" t="s">
        <v>10</v>
      </c>
      <c r="F13" s="10">
        <f>SUM(F3:F11)</f>
        <v>0</v>
      </c>
    </row>
    <row r="14" spans="1:6" ht="12.75">
      <c r="A14" s="60"/>
      <c r="B14" s="61"/>
      <c r="C14" t="s">
        <v>14</v>
      </c>
      <c r="E14" s="15"/>
      <c r="F14" s="7"/>
    </row>
    <row r="15" spans="1:11" ht="12.75">
      <c r="A15" s="65" t="s">
        <v>13</v>
      </c>
      <c r="B15" s="72"/>
      <c r="C15" s="19">
        <f>B15/12</f>
        <v>0</v>
      </c>
      <c r="E15" s="6" t="s">
        <v>11</v>
      </c>
      <c r="F15" s="10">
        <f>B12-F155</f>
        <v>0</v>
      </c>
      <c r="K15" s="20"/>
    </row>
    <row r="16" spans="1:6" ht="13.5" thickBot="1">
      <c r="A16" s="73" t="s">
        <v>127</v>
      </c>
      <c r="B16" s="62"/>
      <c r="E16" s="16" t="s">
        <v>12</v>
      </c>
      <c r="F16" s="17">
        <f>F155</f>
        <v>0</v>
      </c>
    </row>
    <row r="17" spans="4:7" ht="12.75">
      <c r="D17" s="4"/>
      <c r="E17" s="4"/>
      <c r="F17" s="4"/>
      <c r="G17" s="4"/>
    </row>
    <row r="18" spans="1:10" ht="12.75">
      <c r="A18" t="s">
        <v>15</v>
      </c>
      <c r="C18" s="2" t="s">
        <v>16</v>
      </c>
      <c r="D18" s="4"/>
      <c r="G18" s="21"/>
      <c r="I18" s="22"/>
      <c r="J18" s="11"/>
    </row>
    <row r="19" spans="4:10" ht="12.75">
      <c r="D19" s="4"/>
      <c r="G19" s="21"/>
      <c r="I19" s="2"/>
      <c r="J19" s="11"/>
    </row>
    <row r="20" spans="1:7" ht="12.75">
      <c r="A20" s="23">
        <f>Data!A4</f>
        <v>40359</v>
      </c>
      <c r="B20" s="24">
        <f aca="true" t="shared" si="0" ref="B20:B44">IF(ISNA(VLOOKUP(A20,PayDates,HLOOKUP($B$3,BankCol,3))),0,VLOOKUP(A20,PayDates,HLOOKUP($B$3,BankCol,3)))</f>
        <v>0</v>
      </c>
      <c r="C20" s="25" t="str">
        <f>IF(SUM($B$20:$B$44)=0,"N",IF(AND(SUM(B21:$B$45)=0,COUNTIF($C$19:C19,"Y")=0),"Y","N"))</f>
        <v>N</v>
      </c>
      <c r="D20" s="4"/>
      <c r="G20" s="21"/>
    </row>
    <row r="21" spans="1:7" ht="12.75">
      <c r="A21" s="23">
        <f>Data!A5</f>
        <v>40390</v>
      </c>
      <c r="B21" s="24">
        <f t="shared" si="0"/>
        <v>0</v>
      </c>
      <c r="C21" s="25" t="str">
        <f>IF(SUM($B$20:$B$44)=0,"N",IF(AND(SUM(B22:$B$45)=0,COUNTIF($C$19:C20,"Y")=0),"Y","N"))</f>
        <v>N</v>
      </c>
      <c r="D21" s="4"/>
      <c r="F21" s="11"/>
      <c r="G21" s="21"/>
    </row>
    <row r="22" spans="1:7" ht="12.75">
      <c r="A22" s="23">
        <f>Data!A6</f>
        <v>40451</v>
      </c>
      <c r="B22" s="24">
        <f t="shared" si="0"/>
        <v>0</v>
      </c>
      <c r="C22" s="25" t="str">
        <f>IF(SUM($B$20:$B$44)=0,"N",IF(AND(SUM(B23:$B$45)=0,COUNTIF($C$19:C21,"Y")=0),"Y","N"))</f>
        <v>N</v>
      </c>
      <c r="D22" s="4"/>
      <c r="G22" s="21"/>
    </row>
    <row r="23" spans="1:7" ht="12.75">
      <c r="A23" s="23">
        <f>Data!A7</f>
        <v>40543</v>
      </c>
      <c r="B23" s="24">
        <f t="shared" si="0"/>
        <v>0</v>
      </c>
      <c r="C23" s="25" t="str">
        <f>IF(SUM($B$20:$B$44)=0,"N",IF(AND(SUM(B24:$B$45)=0,COUNTIF($C$19:C22,"Y")=0),"Y","N"))</f>
        <v>N</v>
      </c>
      <c r="D23" s="4"/>
      <c r="F23" s="11"/>
      <c r="G23" s="21"/>
    </row>
    <row r="24" spans="1:7" ht="12.75">
      <c r="A24" s="23">
        <f>Data!A8</f>
        <v>40574</v>
      </c>
      <c r="B24" s="24">
        <f t="shared" si="0"/>
        <v>0</v>
      </c>
      <c r="C24" s="25" t="str">
        <f>IF(SUM($B$20:$B$44)=0,"N",IF(AND(SUM(B25:$B$45)=0,COUNTIF($C$19:C23,"Y")=0),"Y","N"))</f>
        <v>N</v>
      </c>
      <c r="D24" s="4"/>
      <c r="G24" s="21"/>
    </row>
    <row r="25" spans="1:9" ht="12.75">
      <c r="A25" s="23">
        <f>Data!A9</f>
        <v>40633</v>
      </c>
      <c r="B25" s="24">
        <f t="shared" si="0"/>
        <v>0</v>
      </c>
      <c r="C25" s="25" t="str">
        <f>IF(SUM($B$20:$B$44)=0,"N",IF(AND(SUM(B26:$B$45)=0,COUNTIF($C$19:C24,"Y")=0),"Y","N"))</f>
        <v>N</v>
      </c>
      <c r="D25" s="4"/>
      <c r="G25" s="4"/>
      <c r="I25" s="2"/>
    </row>
    <row r="26" spans="1:9" ht="12.75">
      <c r="A26" s="23">
        <f>Data!A10</f>
        <v>40724</v>
      </c>
      <c r="B26" s="24">
        <f t="shared" si="0"/>
        <v>0</v>
      </c>
      <c r="C26" s="25" t="str">
        <f>IF(SUM($B$20:$B$44)=0,"N",IF(AND(SUM(B27:$B$45)=0,COUNTIF($C$19:C25,"Y")=0),"Y","N"))</f>
        <v>N</v>
      </c>
      <c r="D26" s="4"/>
      <c r="G26" s="4"/>
      <c r="I26" s="2"/>
    </row>
    <row r="27" spans="1:9" ht="12.75">
      <c r="A27" s="23">
        <f>Data!A11</f>
        <v>40755</v>
      </c>
      <c r="B27" s="24">
        <f t="shared" si="0"/>
        <v>0</v>
      </c>
      <c r="C27" s="25" t="str">
        <f>IF(SUM($B$20:$B$44)=0,"N",IF(AND(SUM(B28:$B$45)=0,COUNTIF($C$19:C26,"Y")=0),"Y","N"))</f>
        <v>N</v>
      </c>
      <c r="D27" s="4"/>
      <c r="G27" s="4"/>
      <c r="I27" s="2"/>
    </row>
    <row r="28" spans="1:9" ht="12.75">
      <c r="A28" s="23">
        <f>Data!A12</f>
        <v>40816</v>
      </c>
      <c r="B28" s="24">
        <f t="shared" si="0"/>
        <v>0</v>
      </c>
      <c r="C28" s="25" t="str">
        <f>IF(SUM($B$20:$B$44)=0,"N",IF(AND(SUM(B29:$B$45)=0,COUNTIF($C$19:C27,"Y")=0),"Y","N"))</f>
        <v>N</v>
      </c>
      <c r="D28" s="4"/>
      <c r="G28" s="4"/>
      <c r="I28" s="2"/>
    </row>
    <row r="29" spans="1:9" ht="12.75">
      <c r="A29" s="23">
        <f>Data!A13</f>
        <v>40847</v>
      </c>
      <c r="B29" s="24">
        <f t="shared" si="0"/>
        <v>0</v>
      </c>
      <c r="C29" s="25" t="str">
        <f>IF(SUM($B$20:$B$44)=0,"N",IF(AND(SUM(B30:$B$45)=0,COUNTIF($C$19:C28,"Y")=0),"Y","N"))</f>
        <v>N</v>
      </c>
      <c r="D29" s="4"/>
      <c r="G29" s="4"/>
      <c r="I29" s="2"/>
    </row>
    <row r="30" spans="1:9" ht="12.75">
      <c r="A30" s="23">
        <f>Data!A14</f>
        <v>40908</v>
      </c>
      <c r="B30" s="24">
        <f t="shared" si="0"/>
        <v>0</v>
      </c>
      <c r="C30" s="25" t="str">
        <f>IF(SUM($B$20:$B$44)=0,"N",IF(AND(SUM(B31:$B$45)=0,COUNTIF($C$19:C29,"Y")=0),"Y","N"))</f>
        <v>N</v>
      </c>
      <c r="D30" s="4"/>
      <c r="G30" s="4"/>
      <c r="I30" s="2"/>
    </row>
    <row r="31" spans="1:9" ht="12.75">
      <c r="A31" s="23">
        <f>Data!A15</f>
        <v>40939</v>
      </c>
      <c r="B31" s="24">
        <f t="shared" si="0"/>
        <v>0</v>
      </c>
      <c r="C31" s="25" t="str">
        <f>IF(SUM($B$20:$B$44)=0,"N",IF(AND(SUM(B32:$B$45)=0,COUNTIF($C$19:C30,"Y")=0),"Y","N"))</f>
        <v>N</v>
      </c>
      <c r="D31" s="4"/>
      <c r="G31" s="4"/>
      <c r="I31" s="2"/>
    </row>
    <row r="32" spans="1:7" ht="12.75">
      <c r="A32" s="23">
        <f>Data!A16</f>
        <v>40999</v>
      </c>
      <c r="B32" s="24">
        <f t="shared" si="0"/>
        <v>0</v>
      </c>
      <c r="C32" s="25" t="str">
        <f>IF(SUM($B$20:$B$44)=0,"N",IF(AND(SUM(B33:$B$45)=0,COUNTIF($C$19:C31,"Y")=0),"Y","N"))</f>
        <v>N</v>
      </c>
      <c r="D32" s="4"/>
      <c r="E32" s="4"/>
      <c r="F32" s="4"/>
      <c r="G32" s="4"/>
    </row>
    <row r="33" spans="1:7" ht="12.75">
      <c r="A33" s="23">
        <f>Data!A17</f>
        <v>41090</v>
      </c>
      <c r="B33" s="24">
        <f t="shared" si="0"/>
        <v>0</v>
      </c>
      <c r="C33" s="25" t="str">
        <f>IF(SUM($B$20:$B$44)=0,"N",IF(AND(SUM(B34:$B$45)=0,COUNTIF($C$19:C32,"Y")=0),"Y","N"))</f>
        <v>N</v>
      </c>
      <c r="G33" s="20"/>
    </row>
    <row r="34" spans="1:7" ht="12.75">
      <c r="A34" s="23">
        <f>Data!A18</f>
        <v>41121</v>
      </c>
      <c r="B34" s="24">
        <f t="shared" si="0"/>
        <v>0</v>
      </c>
      <c r="C34" s="25" t="str">
        <f>IF(SUM($B$20:$B$44)=0,"N",IF(AND(SUM(B35:$B$45)=0,COUNTIF($C$19:C33,"Y")=0),"Y","N"))</f>
        <v>N</v>
      </c>
      <c r="G34" s="20"/>
    </row>
    <row r="35" spans="1:7" ht="12.75">
      <c r="A35" s="23">
        <f>Data!A19</f>
        <v>41182</v>
      </c>
      <c r="B35" s="24">
        <f t="shared" si="0"/>
        <v>0</v>
      </c>
      <c r="C35" s="25" t="str">
        <f>IF(SUM($B$20:$B$44)=0,"N",IF(AND(SUM(B36:$B$45)=0,COUNTIF($C$19:C34,"Y")=0),"Y","N"))</f>
        <v>N</v>
      </c>
      <c r="G35" s="20"/>
    </row>
    <row r="36" spans="1:7" ht="12.75">
      <c r="A36" s="23">
        <f>Data!A20</f>
        <v>41213</v>
      </c>
      <c r="B36" s="24">
        <f t="shared" si="0"/>
        <v>0</v>
      </c>
      <c r="C36" s="25" t="str">
        <f>IF(SUM($B$20:$B$44)=0,"N",IF(AND(SUM(B37:$B$45)=0,COUNTIF($C$19:C35,"Y")=0),"Y","N"))</f>
        <v>N</v>
      </c>
      <c r="G36" s="20"/>
    </row>
    <row r="37" spans="1:7" ht="12.75">
      <c r="A37" s="23">
        <f>Data!A21</f>
        <v>41305</v>
      </c>
      <c r="B37" s="24">
        <f t="shared" si="0"/>
        <v>0</v>
      </c>
      <c r="C37" s="25" t="str">
        <f>IF(SUM($B$20:$B$44)=0,"N",IF(AND(SUM(B38:$B$45)=0,COUNTIF($C$19:C36,"Y")=0),"Y","N"))</f>
        <v>N</v>
      </c>
      <c r="G37" s="20"/>
    </row>
    <row r="38" spans="1:7" ht="12.75">
      <c r="A38" s="23">
        <f>Data!A22</f>
        <v>41486</v>
      </c>
      <c r="B38" s="24">
        <f t="shared" si="0"/>
        <v>0</v>
      </c>
      <c r="C38" s="25" t="str">
        <f>IF(SUM($B$20:$B$44)=0,"N",IF(AND(SUM(B39:$B$45)=0,COUNTIF($C$19:C37,"Y")=0),"Y","N"))</f>
        <v>N</v>
      </c>
      <c r="G38" s="20"/>
    </row>
    <row r="39" spans="1:7" ht="12.75">
      <c r="A39" s="23">
        <f>Data!A23</f>
        <v>41578</v>
      </c>
      <c r="B39" s="24">
        <f t="shared" si="0"/>
        <v>0</v>
      </c>
      <c r="C39" s="25" t="str">
        <f>IF(SUM($B$20:$B$44)=0,"N",IF(AND(SUM(B40:$B$45)=0,COUNTIF($C$19:C38,"Y")=0),"Y","N"))</f>
        <v>N</v>
      </c>
      <c r="G39" s="20"/>
    </row>
    <row r="40" spans="1:7" ht="12.75">
      <c r="A40" s="23">
        <f>Data!A24</f>
        <v>41943</v>
      </c>
      <c r="B40" s="24">
        <f t="shared" si="0"/>
        <v>0</v>
      </c>
      <c r="C40" s="25" t="str">
        <f>IF(SUM($B$20:$B$44)=0,"N",IF(AND(SUM(B41:$B$45)=0,COUNTIF($C$19:C39,"Y")=0),"Y","N"))</f>
        <v>N</v>
      </c>
      <c r="G40" s="20"/>
    </row>
    <row r="41" spans="1:7" ht="12.75">
      <c r="A41" s="23">
        <f>Data!A25</f>
        <v>42308</v>
      </c>
      <c r="B41" s="24">
        <f t="shared" si="0"/>
        <v>0</v>
      </c>
      <c r="C41" s="25" t="str">
        <f>IF(SUM($B$20:$B$44)=0,"N",IF(AND(SUM(B42:$B$45)=0,COUNTIF($C$19:C40,"Y")=0),"Y","N"))</f>
        <v>N</v>
      </c>
      <c r="G41" s="20"/>
    </row>
    <row r="42" spans="1:7" ht="12.75">
      <c r="A42" s="23">
        <f>Data!A26</f>
        <v>42674</v>
      </c>
      <c r="B42" s="24">
        <f t="shared" si="0"/>
        <v>0</v>
      </c>
      <c r="C42" s="25" t="str">
        <f>IF(SUM($B$20:$B$44)=0,"N",IF(AND(SUM(B43:$B$45)=0,COUNTIF($C$19:C41,"Y")=0),"Y","N"))</f>
        <v>N</v>
      </c>
      <c r="G42" s="20"/>
    </row>
    <row r="43" spans="1:7" ht="12.75">
      <c r="A43" s="23">
        <f>Data!A27</f>
        <v>43039</v>
      </c>
      <c r="B43" s="24">
        <f t="shared" si="0"/>
        <v>0</v>
      </c>
      <c r="C43" s="25" t="str">
        <f>IF(SUM($B$20:$B$44)=0,"N",IF(AND(SUM(B44:$B$45)=0,COUNTIF($C$19:C42,"Y")=0),"Y","N"))</f>
        <v>N</v>
      </c>
      <c r="G43" s="20"/>
    </row>
    <row r="44" spans="1:7" ht="12.75">
      <c r="A44" s="23">
        <f>Data!A28</f>
        <v>43404</v>
      </c>
      <c r="B44" s="24">
        <f t="shared" si="0"/>
        <v>0</v>
      </c>
      <c r="C44" s="25" t="str">
        <f>IF(SUM($B$20:$B$44)=0,"N",IF(AND(SUM(B45:$B$45)=0,COUNTIF($C$19:C43,"Y")=0),"Y","N"))</f>
        <v>N</v>
      </c>
      <c r="G44" s="20"/>
    </row>
    <row r="45" spans="1:7" ht="12.75">
      <c r="A45" s="23"/>
      <c r="B45" s="24"/>
      <c r="C45" s="25"/>
      <c r="G45" s="20"/>
    </row>
    <row r="46" spans="1:8" ht="12.75">
      <c r="A46" s="1" t="s">
        <v>17</v>
      </c>
      <c r="B46" s="1"/>
      <c r="C46" s="1"/>
      <c r="D46" s="26" t="s">
        <v>18</v>
      </c>
      <c r="E46" s="1"/>
      <c r="F46" s="1"/>
      <c r="G46" s="1"/>
      <c r="H46" s="1" t="s">
        <v>19</v>
      </c>
    </row>
    <row r="47" spans="1:11" ht="12.75">
      <c r="A47" t="s">
        <v>20</v>
      </c>
      <c r="B47" s="31" t="s">
        <v>21</v>
      </c>
      <c r="D47" t="s">
        <v>20</v>
      </c>
      <c r="E47" t="s">
        <v>22</v>
      </c>
      <c r="F47" t="s">
        <v>23</v>
      </c>
      <c r="H47" t="s">
        <v>24</v>
      </c>
      <c r="I47" t="s">
        <v>25</v>
      </c>
      <c r="J47" t="s">
        <v>26</v>
      </c>
      <c r="K47" t="s">
        <v>27</v>
      </c>
    </row>
    <row r="49" spans="1:11" ht="12.75">
      <c r="A49">
        <v>1</v>
      </c>
      <c r="B49" s="27">
        <f aca="true" t="shared" si="1" ref="B49:B80">1/(1+$C$15)^A49</f>
        <v>1</v>
      </c>
      <c r="D49" s="18">
        <v>40298</v>
      </c>
      <c r="E49" s="11">
        <f>ROUND(IF(ISNA(VLOOKUP(D49,$A$20:$B$44,2,FALSE)),0,VLOOKUP(D49,$A$20:$B$44,2,FALSE))*$B$10,2)</f>
        <v>0</v>
      </c>
      <c r="F49" s="11">
        <f aca="true" t="shared" si="2" ref="F49:F93">ROUND(B49*E49,2)</f>
        <v>0</v>
      </c>
      <c r="G49" s="18"/>
      <c r="H49" s="11">
        <f>F155</f>
        <v>0</v>
      </c>
      <c r="I49" s="11">
        <f aca="true" t="shared" si="3" ref="I49:I80">IF(ISNA(VLOOKUP(D49,$A$20:$C$44,3)),ROUND(H49*$C$15,2),IF(VLOOKUP(D49,$A$20:$C$44,3)="N",ROUND(H49*$C$15,2),J49-H49))</f>
        <v>0</v>
      </c>
      <c r="J49" s="11">
        <f aca="true" t="shared" si="4" ref="J49:J93">E49</f>
        <v>0</v>
      </c>
      <c r="K49" s="11">
        <f aca="true" t="shared" si="5" ref="K49:K93">H49+I49-J49</f>
        <v>0</v>
      </c>
    </row>
    <row r="50" spans="1:11" ht="12.75">
      <c r="A50">
        <v>2</v>
      </c>
      <c r="B50" s="27">
        <f t="shared" si="1"/>
        <v>1</v>
      </c>
      <c r="D50" s="18">
        <v>40329</v>
      </c>
      <c r="E50" s="11">
        <f aca="true" t="shared" si="6" ref="E50:E113">ROUND(IF(ISNA(VLOOKUP(D50,$A$20:$B$44,2,FALSE)),0,VLOOKUP(D50,$A$20:$B$44,2,FALSE))*$B$10,2)</f>
        <v>0</v>
      </c>
      <c r="F50" s="11">
        <f t="shared" si="2"/>
        <v>0</v>
      </c>
      <c r="G50" s="18"/>
      <c r="H50" s="11">
        <f aca="true" t="shared" si="7" ref="H50:H93">K49</f>
        <v>0</v>
      </c>
      <c r="I50" s="11">
        <f t="shared" si="3"/>
        <v>0</v>
      </c>
      <c r="J50" s="11">
        <f t="shared" si="4"/>
        <v>0</v>
      </c>
      <c r="K50" s="11">
        <f t="shared" si="5"/>
        <v>0</v>
      </c>
    </row>
    <row r="51" spans="1:11" ht="12.75">
      <c r="A51">
        <v>3</v>
      </c>
      <c r="B51" s="27">
        <f t="shared" si="1"/>
        <v>1</v>
      </c>
      <c r="D51" s="18">
        <v>40359</v>
      </c>
      <c r="E51" s="11">
        <f t="shared" si="6"/>
        <v>0</v>
      </c>
      <c r="F51" s="11">
        <f t="shared" si="2"/>
        <v>0</v>
      </c>
      <c r="G51" s="18"/>
      <c r="H51" s="11">
        <f t="shared" si="7"/>
        <v>0</v>
      </c>
      <c r="I51" s="11">
        <f t="shared" si="3"/>
        <v>0</v>
      </c>
      <c r="J51" s="11">
        <f t="shared" si="4"/>
        <v>0</v>
      </c>
      <c r="K51" s="11">
        <f t="shared" si="5"/>
        <v>0</v>
      </c>
    </row>
    <row r="52" spans="1:11" ht="12.75">
      <c r="A52">
        <v>4</v>
      </c>
      <c r="B52" s="27">
        <f t="shared" si="1"/>
        <v>1</v>
      </c>
      <c r="D52" s="18">
        <v>40390</v>
      </c>
      <c r="E52" s="11">
        <f t="shared" si="6"/>
        <v>0</v>
      </c>
      <c r="F52" s="11">
        <f t="shared" si="2"/>
        <v>0</v>
      </c>
      <c r="G52" s="18"/>
      <c r="H52" s="11">
        <f t="shared" si="7"/>
        <v>0</v>
      </c>
      <c r="I52" s="11">
        <f t="shared" si="3"/>
        <v>0</v>
      </c>
      <c r="J52" s="11">
        <f t="shared" si="4"/>
        <v>0</v>
      </c>
      <c r="K52" s="11">
        <f t="shared" si="5"/>
        <v>0</v>
      </c>
    </row>
    <row r="53" spans="1:11" ht="12.75">
      <c r="A53">
        <v>5</v>
      </c>
      <c r="B53" s="27">
        <f t="shared" si="1"/>
        <v>1</v>
      </c>
      <c r="D53" s="18">
        <v>40421</v>
      </c>
      <c r="E53" s="11">
        <f t="shared" si="6"/>
        <v>0</v>
      </c>
      <c r="F53" s="11">
        <f t="shared" si="2"/>
        <v>0</v>
      </c>
      <c r="G53" s="18"/>
      <c r="H53" s="11">
        <f t="shared" si="7"/>
        <v>0</v>
      </c>
      <c r="I53" s="11">
        <f t="shared" si="3"/>
        <v>0</v>
      </c>
      <c r="J53" s="11">
        <f t="shared" si="4"/>
        <v>0</v>
      </c>
      <c r="K53" s="11">
        <f t="shared" si="5"/>
        <v>0</v>
      </c>
    </row>
    <row r="54" spans="1:11" ht="12.75">
      <c r="A54">
        <v>6</v>
      </c>
      <c r="B54" s="27">
        <f t="shared" si="1"/>
        <v>1</v>
      </c>
      <c r="D54" s="18">
        <v>40451</v>
      </c>
      <c r="E54" s="11">
        <f t="shared" si="6"/>
        <v>0</v>
      </c>
      <c r="F54" s="11">
        <f t="shared" si="2"/>
        <v>0</v>
      </c>
      <c r="G54" s="18"/>
      <c r="H54" s="11">
        <f t="shared" si="7"/>
        <v>0</v>
      </c>
      <c r="I54" s="11">
        <f t="shared" si="3"/>
        <v>0</v>
      </c>
      <c r="J54" s="11">
        <f t="shared" si="4"/>
        <v>0</v>
      </c>
      <c r="K54" s="11">
        <f t="shared" si="5"/>
        <v>0</v>
      </c>
    </row>
    <row r="55" spans="1:11" ht="12.75">
      <c r="A55">
        <v>7</v>
      </c>
      <c r="B55" s="27">
        <f t="shared" si="1"/>
        <v>1</v>
      </c>
      <c r="D55" s="18">
        <v>40482</v>
      </c>
      <c r="E55" s="11">
        <f t="shared" si="6"/>
        <v>0</v>
      </c>
      <c r="F55" s="11">
        <f t="shared" si="2"/>
        <v>0</v>
      </c>
      <c r="G55" s="18"/>
      <c r="H55" s="11">
        <f t="shared" si="7"/>
        <v>0</v>
      </c>
      <c r="I55" s="11">
        <f t="shared" si="3"/>
        <v>0</v>
      </c>
      <c r="J55" s="11">
        <f t="shared" si="4"/>
        <v>0</v>
      </c>
      <c r="K55" s="11">
        <f t="shared" si="5"/>
        <v>0</v>
      </c>
    </row>
    <row r="56" spans="1:11" ht="12.75">
      <c r="A56">
        <v>8</v>
      </c>
      <c r="B56" s="27">
        <f t="shared" si="1"/>
        <v>1</v>
      </c>
      <c r="D56" s="18">
        <v>40512</v>
      </c>
      <c r="E56" s="11">
        <f t="shared" si="6"/>
        <v>0</v>
      </c>
      <c r="F56" s="11">
        <f t="shared" si="2"/>
        <v>0</v>
      </c>
      <c r="G56" s="18"/>
      <c r="H56" s="11">
        <f t="shared" si="7"/>
        <v>0</v>
      </c>
      <c r="I56" s="11">
        <f t="shared" si="3"/>
        <v>0</v>
      </c>
      <c r="J56" s="11">
        <f t="shared" si="4"/>
        <v>0</v>
      </c>
      <c r="K56" s="11">
        <f t="shared" si="5"/>
        <v>0</v>
      </c>
    </row>
    <row r="57" spans="1:11" ht="12.75">
      <c r="A57">
        <v>9</v>
      </c>
      <c r="B57" s="27">
        <f t="shared" si="1"/>
        <v>1</v>
      </c>
      <c r="D57" s="18">
        <v>40543</v>
      </c>
      <c r="E57" s="11">
        <f t="shared" si="6"/>
        <v>0</v>
      </c>
      <c r="F57" s="11">
        <f t="shared" si="2"/>
        <v>0</v>
      </c>
      <c r="G57" s="18"/>
      <c r="H57" s="11">
        <f t="shared" si="7"/>
        <v>0</v>
      </c>
      <c r="I57" s="11">
        <f t="shared" si="3"/>
        <v>0</v>
      </c>
      <c r="J57" s="11">
        <f t="shared" si="4"/>
        <v>0</v>
      </c>
      <c r="K57" s="11">
        <f t="shared" si="5"/>
        <v>0</v>
      </c>
    </row>
    <row r="58" spans="1:11" ht="12.75">
      <c r="A58">
        <v>10</v>
      </c>
      <c r="B58" s="27">
        <f t="shared" si="1"/>
        <v>1</v>
      </c>
      <c r="D58" s="18">
        <v>40574</v>
      </c>
      <c r="E58" s="11">
        <f t="shared" si="6"/>
        <v>0</v>
      </c>
      <c r="F58" s="11">
        <f t="shared" si="2"/>
        <v>0</v>
      </c>
      <c r="G58" s="18"/>
      <c r="H58" s="11">
        <f t="shared" si="7"/>
        <v>0</v>
      </c>
      <c r="I58" s="11">
        <f t="shared" si="3"/>
        <v>0</v>
      </c>
      <c r="J58" s="11">
        <f t="shared" si="4"/>
        <v>0</v>
      </c>
      <c r="K58" s="11">
        <f t="shared" si="5"/>
        <v>0</v>
      </c>
    </row>
    <row r="59" spans="1:11" ht="12.75">
      <c r="A59">
        <v>11</v>
      </c>
      <c r="B59" s="27">
        <f t="shared" si="1"/>
        <v>1</v>
      </c>
      <c r="D59" s="18">
        <v>40602</v>
      </c>
      <c r="E59" s="11">
        <f t="shared" si="6"/>
        <v>0</v>
      </c>
      <c r="F59" s="11">
        <f t="shared" si="2"/>
        <v>0</v>
      </c>
      <c r="G59" s="18"/>
      <c r="H59" s="11">
        <f t="shared" si="7"/>
        <v>0</v>
      </c>
      <c r="I59" s="11">
        <f t="shared" si="3"/>
        <v>0</v>
      </c>
      <c r="J59" s="11">
        <f t="shared" si="4"/>
        <v>0</v>
      </c>
      <c r="K59" s="11">
        <f t="shared" si="5"/>
        <v>0</v>
      </c>
    </row>
    <row r="60" spans="1:11" ht="12.75">
      <c r="A60">
        <v>12</v>
      </c>
      <c r="B60" s="27">
        <f t="shared" si="1"/>
        <v>1</v>
      </c>
      <c r="D60" s="18">
        <v>40633</v>
      </c>
      <c r="E60" s="11">
        <f t="shared" si="6"/>
        <v>0</v>
      </c>
      <c r="F60" s="11">
        <f t="shared" si="2"/>
        <v>0</v>
      </c>
      <c r="G60" s="18"/>
      <c r="H60" s="11">
        <f t="shared" si="7"/>
        <v>0</v>
      </c>
      <c r="I60" s="11">
        <f t="shared" si="3"/>
        <v>0</v>
      </c>
      <c r="J60" s="11">
        <f t="shared" si="4"/>
        <v>0</v>
      </c>
      <c r="K60" s="11">
        <f t="shared" si="5"/>
        <v>0</v>
      </c>
    </row>
    <row r="61" spans="1:11" ht="12.75">
      <c r="A61">
        <v>13</v>
      </c>
      <c r="B61" s="27">
        <f t="shared" si="1"/>
        <v>1</v>
      </c>
      <c r="D61" s="18">
        <v>40663</v>
      </c>
      <c r="E61" s="11">
        <f t="shared" si="6"/>
        <v>0</v>
      </c>
      <c r="F61" s="11">
        <f t="shared" si="2"/>
        <v>0</v>
      </c>
      <c r="G61" s="18"/>
      <c r="H61" s="11">
        <f t="shared" si="7"/>
        <v>0</v>
      </c>
      <c r="I61" s="11">
        <f t="shared" si="3"/>
        <v>0</v>
      </c>
      <c r="J61" s="11">
        <f t="shared" si="4"/>
        <v>0</v>
      </c>
      <c r="K61" s="11">
        <f t="shared" si="5"/>
        <v>0</v>
      </c>
    </row>
    <row r="62" spans="1:11" ht="12.75">
      <c r="A62">
        <v>14</v>
      </c>
      <c r="B62" s="27">
        <f t="shared" si="1"/>
        <v>1</v>
      </c>
      <c r="D62" s="18">
        <v>40694</v>
      </c>
      <c r="E62" s="11">
        <f t="shared" si="6"/>
        <v>0</v>
      </c>
      <c r="F62" s="11">
        <f t="shared" si="2"/>
        <v>0</v>
      </c>
      <c r="G62" s="18"/>
      <c r="H62" s="11">
        <f t="shared" si="7"/>
        <v>0</v>
      </c>
      <c r="I62" s="11">
        <f t="shared" si="3"/>
        <v>0</v>
      </c>
      <c r="J62" s="11">
        <f t="shared" si="4"/>
        <v>0</v>
      </c>
      <c r="K62" s="11">
        <f t="shared" si="5"/>
        <v>0</v>
      </c>
    </row>
    <row r="63" spans="1:11" ht="12.75">
      <c r="A63">
        <v>15</v>
      </c>
      <c r="B63" s="27">
        <f t="shared" si="1"/>
        <v>1</v>
      </c>
      <c r="D63" s="18">
        <v>40724</v>
      </c>
      <c r="E63" s="11">
        <f t="shared" si="6"/>
        <v>0</v>
      </c>
      <c r="F63" s="11">
        <f t="shared" si="2"/>
        <v>0</v>
      </c>
      <c r="G63" s="18"/>
      <c r="H63" s="11">
        <f t="shared" si="7"/>
        <v>0</v>
      </c>
      <c r="I63" s="11">
        <f t="shared" si="3"/>
        <v>0</v>
      </c>
      <c r="J63" s="11">
        <f t="shared" si="4"/>
        <v>0</v>
      </c>
      <c r="K63" s="11">
        <f t="shared" si="5"/>
        <v>0</v>
      </c>
    </row>
    <row r="64" spans="1:11" ht="12.75">
      <c r="A64">
        <v>16</v>
      </c>
      <c r="B64" s="27">
        <f t="shared" si="1"/>
        <v>1</v>
      </c>
      <c r="D64" s="18">
        <v>40755</v>
      </c>
      <c r="E64" s="11">
        <f t="shared" si="6"/>
        <v>0</v>
      </c>
      <c r="F64" s="11">
        <f t="shared" si="2"/>
        <v>0</v>
      </c>
      <c r="G64" s="18"/>
      <c r="H64" s="11">
        <f t="shared" si="7"/>
        <v>0</v>
      </c>
      <c r="I64" s="11">
        <f t="shared" si="3"/>
        <v>0</v>
      </c>
      <c r="J64" s="11">
        <f t="shared" si="4"/>
        <v>0</v>
      </c>
      <c r="K64" s="11">
        <f t="shared" si="5"/>
        <v>0</v>
      </c>
    </row>
    <row r="65" spans="1:11" ht="12.75">
      <c r="A65">
        <v>17</v>
      </c>
      <c r="B65" s="27">
        <f t="shared" si="1"/>
        <v>1</v>
      </c>
      <c r="D65" s="18">
        <v>40786</v>
      </c>
      <c r="E65" s="11">
        <f t="shared" si="6"/>
        <v>0</v>
      </c>
      <c r="F65" s="11">
        <f t="shared" si="2"/>
        <v>0</v>
      </c>
      <c r="G65" s="18"/>
      <c r="H65" s="11">
        <f t="shared" si="7"/>
        <v>0</v>
      </c>
      <c r="I65" s="11">
        <f t="shared" si="3"/>
        <v>0</v>
      </c>
      <c r="J65" s="11">
        <f t="shared" si="4"/>
        <v>0</v>
      </c>
      <c r="K65" s="11">
        <f t="shared" si="5"/>
        <v>0</v>
      </c>
    </row>
    <row r="66" spans="1:11" ht="12.75">
      <c r="A66">
        <v>18</v>
      </c>
      <c r="B66" s="27">
        <f t="shared" si="1"/>
        <v>1</v>
      </c>
      <c r="D66" s="18">
        <v>40816</v>
      </c>
      <c r="E66" s="11">
        <f t="shared" si="6"/>
        <v>0</v>
      </c>
      <c r="F66" s="11">
        <f t="shared" si="2"/>
        <v>0</v>
      </c>
      <c r="G66" s="18"/>
      <c r="H66" s="11">
        <f t="shared" si="7"/>
        <v>0</v>
      </c>
      <c r="I66" s="11">
        <f t="shared" si="3"/>
        <v>0</v>
      </c>
      <c r="J66" s="11">
        <f t="shared" si="4"/>
        <v>0</v>
      </c>
      <c r="K66" s="11">
        <f t="shared" si="5"/>
        <v>0</v>
      </c>
    </row>
    <row r="67" spans="1:11" ht="12.75">
      <c r="A67">
        <v>19</v>
      </c>
      <c r="B67" s="27">
        <f t="shared" si="1"/>
        <v>1</v>
      </c>
      <c r="D67" s="18">
        <v>40847</v>
      </c>
      <c r="E67" s="11">
        <f t="shared" si="6"/>
        <v>0</v>
      </c>
      <c r="F67" s="11">
        <f t="shared" si="2"/>
        <v>0</v>
      </c>
      <c r="G67" s="18"/>
      <c r="H67" s="11">
        <f t="shared" si="7"/>
        <v>0</v>
      </c>
      <c r="I67" s="11">
        <f t="shared" si="3"/>
        <v>0</v>
      </c>
      <c r="J67" s="11">
        <f t="shared" si="4"/>
        <v>0</v>
      </c>
      <c r="K67" s="11">
        <f t="shared" si="5"/>
        <v>0</v>
      </c>
    </row>
    <row r="68" spans="1:11" ht="12.75">
      <c r="A68">
        <v>20</v>
      </c>
      <c r="B68" s="27">
        <f t="shared" si="1"/>
        <v>1</v>
      </c>
      <c r="D68" s="18">
        <v>40877</v>
      </c>
      <c r="E68" s="11">
        <f t="shared" si="6"/>
        <v>0</v>
      </c>
      <c r="F68" s="11">
        <f t="shared" si="2"/>
        <v>0</v>
      </c>
      <c r="G68" s="18"/>
      <c r="H68" s="11">
        <f t="shared" si="7"/>
        <v>0</v>
      </c>
      <c r="I68" s="11">
        <f t="shared" si="3"/>
        <v>0</v>
      </c>
      <c r="J68" s="11">
        <f t="shared" si="4"/>
        <v>0</v>
      </c>
      <c r="K68" s="11">
        <f t="shared" si="5"/>
        <v>0</v>
      </c>
    </row>
    <row r="69" spans="1:11" ht="12.75">
      <c r="A69">
        <v>21</v>
      </c>
      <c r="B69" s="27">
        <f t="shared" si="1"/>
        <v>1</v>
      </c>
      <c r="D69" s="18">
        <v>40908</v>
      </c>
      <c r="E69" s="11">
        <f t="shared" si="6"/>
        <v>0</v>
      </c>
      <c r="F69" s="11">
        <f t="shared" si="2"/>
        <v>0</v>
      </c>
      <c r="G69" s="18"/>
      <c r="H69" s="11">
        <f t="shared" si="7"/>
        <v>0</v>
      </c>
      <c r="I69" s="11">
        <f t="shared" si="3"/>
        <v>0</v>
      </c>
      <c r="J69" s="11">
        <f t="shared" si="4"/>
        <v>0</v>
      </c>
      <c r="K69" s="11">
        <f t="shared" si="5"/>
        <v>0</v>
      </c>
    </row>
    <row r="70" spans="1:11" ht="12.75">
      <c r="A70">
        <v>22</v>
      </c>
      <c r="B70" s="27">
        <f t="shared" si="1"/>
        <v>1</v>
      </c>
      <c r="D70" s="18">
        <v>40939</v>
      </c>
      <c r="E70" s="11">
        <f t="shared" si="6"/>
        <v>0</v>
      </c>
      <c r="F70" s="11">
        <f t="shared" si="2"/>
        <v>0</v>
      </c>
      <c r="G70" s="18"/>
      <c r="H70" s="11">
        <f t="shared" si="7"/>
        <v>0</v>
      </c>
      <c r="I70" s="11">
        <f t="shared" si="3"/>
        <v>0</v>
      </c>
      <c r="J70" s="11">
        <f t="shared" si="4"/>
        <v>0</v>
      </c>
      <c r="K70" s="11">
        <f t="shared" si="5"/>
        <v>0</v>
      </c>
    </row>
    <row r="71" spans="1:11" ht="12.75">
      <c r="A71">
        <v>23</v>
      </c>
      <c r="B71" s="27">
        <f t="shared" si="1"/>
        <v>1</v>
      </c>
      <c r="D71" s="18">
        <v>40968</v>
      </c>
      <c r="E71" s="11">
        <f t="shared" si="6"/>
        <v>0</v>
      </c>
      <c r="F71" s="11">
        <f t="shared" si="2"/>
        <v>0</v>
      </c>
      <c r="G71" s="18"/>
      <c r="H71" s="11">
        <f t="shared" si="7"/>
        <v>0</v>
      </c>
      <c r="I71" s="11">
        <f t="shared" si="3"/>
        <v>0</v>
      </c>
      <c r="J71" s="11">
        <f t="shared" si="4"/>
        <v>0</v>
      </c>
      <c r="K71" s="11">
        <f t="shared" si="5"/>
        <v>0</v>
      </c>
    </row>
    <row r="72" spans="1:11" ht="12.75">
      <c r="A72">
        <v>24</v>
      </c>
      <c r="B72" s="27">
        <f t="shared" si="1"/>
        <v>1</v>
      </c>
      <c r="D72" s="18">
        <v>40999</v>
      </c>
      <c r="E72" s="11">
        <f t="shared" si="6"/>
        <v>0</v>
      </c>
      <c r="F72" s="11">
        <f t="shared" si="2"/>
        <v>0</v>
      </c>
      <c r="G72" s="18"/>
      <c r="H72" s="11">
        <f t="shared" si="7"/>
        <v>0</v>
      </c>
      <c r="I72" s="11">
        <f t="shared" si="3"/>
        <v>0</v>
      </c>
      <c r="J72" s="11">
        <f t="shared" si="4"/>
        <v>0</v>
      </c>
      <c r="K72" s="11">
        <f t="shared" si="5"/>
        <v>0</v>
      </c>
    </row>
    <row r="73" spans="1:11" ht="12.75">
      <c r="A73">
        <v>25</v>
      </c>
      <c r="B73" s="27">
        <f t="shared" si="1"/>
        <v>1</v>
      </c>
      <c r="D73" s="18">
        <v>41029</v>
      </c>
      <c r="E73" s="11">
        <f t="shared" si="6"/>
        <v>0</v>
      </c>
      <c r="F73" s="11">
        <f t="shared" si="2"/>
        <v>0</v>
      </c>
      <c r="G73" s="18"/>
      <c r="H73" s="11">
        <f t="shared" si="7"/>
        <v>0</v>
      </c>
      <c r="I73" s="11">
        <f t="shared" si="3"/>
        <v>0</v>
      </c>
      <c r="J73" s="11">
        <f t="shared" si="4"/>
        <v>0</v>
      </c>
      <c r="K73" s="11">
        <f t="shared" si="5"/>
        <v>0</v>
      </c>
    </row>
    <row r="74" spans="1:11" ht="12.75">
      <c r="A74">
        <v>26</v>
      </c>
      <c r="B74" s="27">
        <f t="shared" si="1"/>
        <v>1</v>
      </c>
      <c r="D74" s="18">
        <v>41060</v>
      </c>
      <c r="E74" s="11">
        <f t="shared" si="6"/>
        <v>0</v>
      </c>
      <c r="F74" s="11">
        <f t="shared" si="2"/>
        <v>0</v>
      </c>
      <c r="G74" s="18"/>
      <c r="H74" s="11">
        <f t="shared" si="7"/>
        <v>0</v>
      </c>
      <c r="I74" s="11">
        <f t="shared" si="3"/>
        <v>0</v>
      </c>
      <c r="J74" s="11">
        <f t="shared" si="4"/>
        <v>0</v>
      </c>
      <c r="K74" s="11">
        <f t="shared" si="5"/>
        <v>0</v>
      </c>
    </row>
    <row r="75" spans="1:11" ht="12.75">
      <c r="A75">
        <v>27</v>
      </c>
      <c r="B75" s="27">
        <f t="shared" si="1"/>
        <v>1</v>
      </c>
      <c r="D75" s="18">
        <v>41090</v>
      </c>
      <c r="E75" s="11">
        <f t="shared" si="6"/>
        <v>0</v>
      </c>
      <c r="F75" s="11">
        <f t="shared" si="2"/>
        <v>0</v>
      </c>
      <c r="G75" s="18"/>
      <c r="H75" s="11">
        <f t="shared" si="7"/>
        <v>0</v>
      </c>
      <c r="I75" s="11">
        <f t="shared" si="3"/>
        <v>0</v>
      </c>
      <c r="J75" s="11">
        <f t="shared" si="4"/>
        <v>0</v>
      </c>
      <c r="K75" s="11">
        <f t="shared" si="5"/>
        <v>0</v>
      </c>
    </row>
    <row r="76" spans="1:11" ht="12.75">
      <c r="A76">
        <v>28</v>
      </c>
      <c r="B76" s="27">
        <f t="shared" si="1"/>
        <v>1</v>
      </c>
      <c r="D76" s="18">
        <v>41121</v>
      </c>
      <c r="E76" s="11">
        <f t="shared" si="6"/>
        <v>0</v>
      </c>
      <c r="F76" s="11">
        <f t="shared" si="2"/>
        <v>0</v>
      </c>
      <c r="G76" s="18"/>
      <c r="H76" s="11">
        <f t="shared" si="7"/>
        <v>0</v>
      </c>
      <c r="I76" s="11">
        <f t="shared" si="3"/>
        <v>0</v>
      </c>
      <c r="J76" s="11">
        <f t="shared" si="4"/>
        <v>0</v>
      </c>
      <c r="K76" s="11">
        <f t="shared" si="5"/>
        <v>0</v>
      </c>
    </row>
    <row r="77" spans="1:11" ht="12.75">
      <c r="A77">
        <v>29</v>
      </c>
      <c r="B77" s="27">
        <f t="shared" si="1"/>
        <v>1</v>
      </c>
      <c r="D77" s="18">
        <v>41152</v>
      </c>
      <c r="E77" s="11">
        <f t="shared" si="6"/>
        <v>0</v>
      </c>
      <c r="F77" s="11">
        <f t="shared" si="2"/>
        <v>0</v>
      </c>
      <c r="G77" s="18"/>
      <c r="H77" s="11">
        <f t="shared" si="7"/>
        <v>0</v>
      </c>
      <c r="I77" s="11">
        <f t="shared" si="3"/>
        <v>0</v>
      </c>
      <c r="J77" s="11">
        <f t="shared" si="4"/>
        <v>0</v>
      </c>
      <c r="K77" s="11">
        <f t="shared" si="5"/>
        <v>0</v>
      </c>
    </row>
    <row r="78" spans="1:11" ht="12.75">
      <c r="A78">
        <v>30</v>
      </c>
      <c r="B78" s="27">
        <f t="shared" si="1"/>
        <v>1</v>
      </c>
      <c r="D78" s="18">
        <v>41182</v>
      </c>
      <c r="E78" s="11">
        <f t="shared" si="6"/>
        <v>0</v>
      </c>
      <c r="F78" s="11">
        <f t="shared" si="2"/>
        <v>0</v>
      </c>
      <c r="G78" s="18"/>
      <c r="H78" s="11">
        <f t="shared" si="7"/>
        <v>0</v>
      </c>
      <c r="I78" s="11">
        <f t="shared" si="3"/>
        <v>0</v>
      </c>
      <c r="J78" s="11">
        <f t="shared" si="4"/>
        <v>0</v>
      </c>
      <c r="K78" s="11">
        <f t="shared" si="5"/>
        <v>0</v>
      </c>
    </row>
    <row r="79" spans="1:11" ht="12.75">
      <c r="A79">
        <v>31</v>
      </c>
      <c r="B79" s="27">
        <f t="shared" si="1"/>
        <v>1</v>
      </c>
      <c r="D79" s="18">
        <v>41213</v>
      </c>
      <c r="E79" s="11">
        <f t="shared" si="6"/>
        <v>0</v>
      </c>
      <c r="F79" s="11">
        <f t="shared" si="2"/>
        <v>0</v>
      </c>
      <c r="G79" s="18"/>
      <c r="H79" s="11">
        <f t="shared" si="7"/>
        <v>0</v>
      </c>
      <c r="I79" s="11">
        <f t="shared" si="3"/>
        <v>0</v>
      </c>
      <c r="J79" s="11">
        <f t="shared" si="4"/>
        <v>0</v>
      </c>
      <c r="K79" s="11">
        <f t="shared" si="5"/>
        <v>0</v>
      </c>
    </row>
    <row r="80" spans="1:11" ht="12.75">
      <c r="A80">
        <v>32</v>
      </c>
      <c r="B80" s="27">
        <f t="shared" si="1"/>
        <v>1</v>
      </c>
      <c r="D80" s="18">
        <v>41243</v>
      </c>
      <c r="E80" s="11">
        <f t="shared" si="6"/>
        <v>0</v>
      </c>
      <c r="F80" s="11">
        <f t="shared" si="2"/>
        <v>0</v>
      </c>
      <c r="G80" s="18"/>
      <c r="H80" s="11">
        <f t="shared" si="7"/>
        <v>0</v>
      </c>
      <c r="I80" s="11">
        <f t="shared" si="3"/>
        <v>0</v>
      </c>
      <c r="J80" s="11">
        <f t="shared" si="4"/>
        <v>0</v>
      </c>
      <c r="K80" s="11">
        <f t="shared" si="5"/>
        <v>0</v>
      </c>
    </row>
    <row r="81" spans="1:11" ht="12.75">
      <c r="A81">
        <v>33</v>
      </c>
      <c r="B81" s="27">
        <f aca="true" t="shared" si="8" ref="B81:B112">1/(1+$C$15)^A81</f>
        <v>1</v>
      </c>
      <c r="D81" s="18">
        <v>41274</v>
      </c>
      <c r="E81" s="11">
        <f t="shared" si="6"/>
        <v>0</v>
      </c>
      <c r="F81" s="11">
        <f t="shared" si="2"/>
        <v>0</v>
      </c>
      <c r="G81" s="18"/>
      <c r="H81" s="11">
        <f t="shared" si="7"/>
        <v>0</v>
      </c>
      <c r="I81" s="11">
        <f aca="true" t="shared" si="9" ref="I81:I112">IF(ISNA(VLOOKUP(D81,$A$20:$C$44,3)),ROUND(H81*$C$15,2),IF(VLOOKUP(D81,$A$20:$C$44,3)="N",ROUND(H81*$C$15,2),J81-H81))</f>
        <v>0</v>
      </c>
      <c r="J81" s="11">
        <f t="shared" si="4"/>
        <v>0</v>
      </c>
      <c r="K81" s="11">
        <f t="shared" si="5"/>
        <v>0</v>
      </c>
    </row>
    <row r="82" spans="1:11" ht="12.75">
      <c r="A82">
        <v>34</v>
      </c>
      <c r="B82" s="27">
        <f t="shared" si="8"/>
        <v>1</v>
      </c>
      <c r="D82" s="18">
        <v>41305</v>
      </c>
      <c r="E82" s="11">
        <f t="shared" si="6"/>
        <v>0</v>
      </c>
      <c r="F82" s="11">
        <f t="shared" si="2"/>
        <v>0</v>
      </c>
      <c r="G82" s="18"/>
      <c r="H82" s="11">
        <f t="shared" si="7"/>
        <v>0</v>
      </c>
      <c r="I82" s="11">
        <f t="shared" si="9"/>
        <v>0</v>
      </c>
      <c r="J82" s="11">
        <f t="shared" si="4"/>
        <v>0</v>
      </c>
      <c r="K82" s="11">
        <f t="shared" si="5"/>
        <v>0</v>
      </c>
    </row>
    <row r="83" spans="1:11" ht="12.75">
      <c r="A83">
        <v>35</v>
      </c>
      <c r="B83" s="27">
        <f t="shared" si="8"/>
        <v>1</v>
      </c>
      <c r="D83" s="18">
        <v>41333</v>
      </c>
      <c r="E83" s="11">
        <f t="shared" si="6"/>
        <v>0</v>
      </c>
      <c r="F83" s="11">
        <f t="shared" si="2"/>
        <v>0</v>
      </c>
      <c r="G83" s="18"/>
      <c r="H83" s="11">
        <f t="shared" si="7"/>
        <v>0</v>
      </c>
      <c r="I83" s="11">
        <f t="shared" si="9"/>
        <v>0</v>
      </c>
      <c r="J83" s="11">
        <f t="shared" si="4"/>
        <v>0</v>
      </c>
      <c r="K83" s="11">
        <f t="shared" si="5"/>
        <v>0</v>
      </c>
    </row>
    <row r="84" spans="1:11" ht="12.75">
      <c r="A84">
        <v>36</v>
      </c>
      <c r="B84" s="27">
        <f t="shared" si="8"/>
        <v>1</v>
      </c>
      <c r="D84" s="18">
        <v>41364</v>
      </c>
      <c r="E84" s="11">
        <f t="shared" si="6"/>
        <v>0</v>
      </c>
      <c r="F84" s="11">
        <f t="shared" si="2"/>
        <v>0</v>
      </c>
      <c r="G84" s="18"/>
      <c r="H84" s="11">
        <f t="shared" si="7"/>
        <v>0</v>
      </c>
      <c r="I84" s="11">
        <f t="shared" si="9"/>
        <v>0</v>
      </c>
      <c r="J84" s="11">
        <f t="shared" si="4"/>
        <v>0</v>
      </c>
      <c r="K84" s="11">
        <f t="shared" si="5"/>
        <v>0</v>
      </c>
    </row>
    <row r="85" spans="1:11" ht="12.75">
      <c r="A85">
        <v>37</v>
      </c>
      <c r="B85" s="27">
        <f t="shared" si="8"/>
        <v>1</v>
      </c>
      <c r="D85" s="18">
        <v>41394</v>
      </c>
      <c r="E85" s="11">
        <f t="shared" si="6"/>
        <v>0</v>
      </c>
      <c r="F85" s="11">
        <f t="shared" si="2"/>
        <v>0</v>
      </c>
      <c r="G85" s="18"/>
      <c r="H85" s="11">
        <f t="shared" si="7"/>
        <v>0</v>
      </c>
      <c r="I85" s="11">
        <f t="shared" si="9"/>
        <v>0</v>
      </c>
      <c r="J85" s="11">
        <f t="shared" si="4"/>
        <v>0</v>
      </c>
      <c r="K85" s="11">
        <f t="shared" si="5"/>
        <v>0</v>
      </c>
    </row>
    <row r="86" spans="1:11" ht="12.75">
      <c r="A86">
        <v>38</v>
      </c>
      <c r="B86" s="27">
        <f t="shared" si="8"/>
        <v>1</v>
      </c>
      <c r="D86" s="18">
        <v>41425</v>
      </c>
      <c r="E86" s="11">
        <f t="shared" si="6"/>
        <v>0</v>
      </c>
      <c r="F86" s="11">
        <f t="shared" si="2"/>
        <v>0</v>
      </c>
      <c r="G86" s="18"/>
      <c r="H86" s="11">
        <f t="shared" si="7"/>
        <v>0</v>
      </c>
      <c r="I86" s="11">
        <f t="shared" si="9"/>
        <v>0</v>
      </c>
      <c r="J86" s="11">
        <f t="shared" si="4"/>
        <v>0</v>
      </c>
      <c r="K86" s="11">
        <f t="shared" si="5"/>
        <v>0</v>
      </c>
    </row>
    <row r="87" spans="1:11" ht="12.75">
      <c r="A87">
        <v>39</v>
      </c>
      <c r="B87" s="27">
        <f t="shared" si="8"/>
        <v>1</v>
      </c>
      <c r="D87" s="18">
        <v>41455</v>
      </c>
      <c r="E87" s="11">
        <f t="shared" si="6"/>
        <v>0</v>
      </c>
      <c r="F87" s="11">
        <f t="shared" si="2"/>
        <v>0</v>
      </c>
      <c r="G87" s="18"/>
      <c r="H87" s="11">
        <f t="shared" si="7"/>
        <v>0</v>
      </c>
      <c r="I87" s="11">
        <f t="shared" si="9"/>
        <v>0</v>
      </c>
      <c r="J87" s="11">
        <f t="shared" si="4"/>
        <v>0</v>
      </c>
      <c r="K87" s="11">
        <f t="shared" si="5"/>
        <v>0</v>
      </c>
    </row>
    <row r="88" spans="1:11" ht="12.75">
      <c r="A88">
        <v>40</v>
      </c>
      <c r="B88" s="27">
        <f t="shared" si="8"/>
        <v>1</v>
      </c>
      <c r="D88" s="18">
        <v>41486</v>
      </c>
      <c r="E88" s="11">
        <f t="shared" si="6"/>
        <v>0</v>
      </c>
      <c r="F88" s="11">
        <f t="shared" si="2"/>
        <v>0</v>
      </c>
      <c r="G88" s="18"/>
      <c r="H88" s="11">
        <f t="shared" si="7"/>
        <v>0</v>
      </c>
      <c r="I88" s="11">
        <f t="shared" si="9"/>
        <v>0</v>
      </c>
      <c r="J88" s="11">
        <f t="shared" si="4"/>
        <v>0</v>
      </c>
      <c r="K88" s="11">
        <f t="shared" si="5"/>
        <v>0</v>
      </c>
    </row>
    <row r="89" spans="1:11" ht="12.75">
      <c r="A89">
        <v>41</v>
      </c>
      <c r="B89" s="27">
        <f t="shared" si="8"/>
        <v>1</v>
      </c>
      <c r="D89" s="18">
        <v>41517</v>
      </c>
      <c r="E89" s="11">
        <f t="shared" si="6"/>
        <v>0</v>
      </c>
      <c r="F89" s="11">
        <f t="shared" si="2"/>
        <v>0</v>
      </c>
      <c r="G89" s="18"/>
      <c r="H89" s="11">
        <f t="shared" si="7"/>
        <v>0</v>
      </c>
      <c r="I89" s="11">
        <f t="shared" si="9"/>
        <v>0</v>
      </c>
      <c r="J89" s="11">
        <f t="shared" si="4"/>
        <v>0</v>
      </c>
      <c r="K89" s="11">
        <f t="shared" si="5"/>
        <v>0</v>
      </c>
    </row>
    <row r="90" spans="1:11" ht="12.75">
      <c r="A90">
        <v>42</v>
      </c>
      <c r="B90" s="27">
        <f t="shared" si="8"/>
        <v>1</v>
      </c>
      <c r="D90" s="18">
        <v>41547</v>
      </c>
      <c r="E90" s="11">
        <f t="shared" si="6"/>
        <v>0</v>
      </c>
      <c r="F90" s="11">
        <f t="shared" si="2"/>
        <v>0</v>
      </c>
      <c r="G90" s="18"/>
      <c r="H90" s="11">
        <f t="shared" si="7"/>
        <v>0</v>
      </c>
      <c r="I90" s="11">
        <f t="shared" si="9"/>
        <v>0</v>
      </c>
      <c r="J90" s="11">
        <f t="shared" si="4"/>
        <v>0</v>
      </c>
      <c r="K90" s="11">
        <f t="shared" si="5"/>
        <v>0</v>
      </c>
    </row>
    <row r="91" spans="1:11" ht="12.75">
      <c r="A91">
        <v>43</v>
      </c>
      <c r="B91" s="27">
        <f t="shared" si="8"/>
        <v>1</v>
      </c>
      <c r="D91" s="18">
        <v>41578</v>
      </c>
      <c r="E91" s="11">
        <f t="shared" si="6"/>
        <v>0</v>
      </c>
      <c r="F91" s="11">
        <f t="shared" si="2"/>
        <v>0</v>
      </c>
      <c r="G91" s="18"/>
      <c r="H91" s="11">
        <f t="shared" si="7"/>
        <v>0</v>
      </c>
      <c r="I91" s="11">
        <f t="shared" si="9"/>
        <v>0</v>
      </c>
      <c r="J91" s="11">
        <f t="shared" si="4"/>
        <v>0</v>
      </c>
      <c r="K91" s="11">
        <f t="shared" si="5"/>
        <v>0</v>
      </c>
    </row>
    <row r="92" spans="1:11" ht="12.75">
      <c r="A92">
        <v>44</v>
      </c>
      <c r="B92" s="27">
        <f t="shared" si="8"/>
        <v>1</v>
      </c>
      <c r="D92" s="18">
        <v>41608</v>
      </c>
      <c r="E92" s="11">
        <f t="shared" si="6"/>
        <v>0</v>
      </c>
      <c r="F92" s="11">
        <f t="shared" si="2"/>
        <v>0</v>
      </c>
      <c r="G92" s="18"/>
      <c r="H92" s="11">
        <f t="shared" si="7"/>
        <v>0</v>
      </c>
      <c r="I92" s="11">
        <f t="shared" si="9"/>
        <v>0</v>
      </c>
      <c r="J92" s="11">
        <f t="shared" si="4"/>
        <v>0</v>
      </c>
      <c r="K92" s="11">
        <f t="shared" si="5"/>
        <v>0</v>
      </c>
    </row>
    <row r="93" spans="1:11" ht="12.75">
      <c r="A93">
        <v>45</v>
      </c>
      <c r="B93" s="27">
        <f t="shared" si="8"/>
        <v>1</v>
      </c>
      <c r="D93" s="18">
        <v>41639</v>
      </c>
      <c r="E93" s="11">
        <f t="shared" si="6"/>
        <v>0</v>
      </c>
      <c r="F93" s="11">
        <f t="shared" si="2"/>
        <v>0</v>
      </c>
      <c r="G93" s="18"/>
      <c r="H93" s="11">
        <f t="shared" si="7"/>
        <v>0</v>
      </c>
      <c r="I93" s="11">
        <f t="shared" si="9"/>
        <v>0</v>
      </c>
      <c r="J93" s="11">
        <f t="shared" si="4"/>
        <v>0</v>
      </c>
      <c r="K93" s="11">
        <f t="shared" si="5"/>
        <v>0</v>
      </c>
    </row>
    <row r="94" spans="1:11" ht="12.75">
      <c r="A94">
        <v>46</v>
      </c>
      <c r="B94" s="27">
        <f t="shared" si="8"/>
        <v>1</v>
      </c>
      <c r="D94" s="18">
        <v>41670</v>
      </c>
      <c r="E94" s="11">
        <f t="shared" si="6"/>
        <v>0</v>
      </c>
      <c r="F94" s="11">
        <f aca="true" t="shared" si="10" ref="F94:F100">ROUND(B94*E94,2)</f>
        <v>0</v>
      </c>
      <c r="G94" s="18"/>
      <c r="H94" s="11">
        <f aca="true" t="shared" si="11" ref="H94:H100">K93</f>
        <v>0</v>
      </c>
      <c r="I94" s="11">
        <f t="shared" si="9"/>
        <v>0</v>
      </c>
      <c r="J94" s="11">
        <f aca="true" t="shared" si="12" ref="J94:J100">E94</f>
        <v>0</v>
      </c>
      <c r="K94" s="11">
        <f aca="true" t="shared" si="13" ref="K94:K100">H94+I94-J94</f>
        <v>0</v>
      </c>
    </row>
    <row r="95" spans="1:11" ht="12.75">
      <c r="A95">
        <v>47</v>
      </c>
      <c r="B95" s="27">
        <f t="shared" si="8"/>
        <v>1</v>
      </c>
      <c r="D95" s="18">
        <v>41698</v>
      </c>
      <c r="E95" s="11">
        <f t="shared" si="6"/>
        <v>0</v>
      </c>
      <c r="F95" s="11">
        <f t="shared" si="10"/>
        <v>0</v>
      </c>
      <c r="G95" s="18"/>
      <c r="H95" s="11">
        <f t="shared" si="11"/>
        <v>0</v>
      </c>
      <c r="I95" s="11">
        <f t="shared" si="9"/>
        <v>0</v>
      </c>
      <c r="J95" s="11">
        <f t="shared" si="12"/>
        <v>0</v>
      </c>
      <c r="K95" s="11">
        <f t="shared" si="13"/>
        <v>0</v>
      </c>
    </row>
    <row r="96" spans="1:11" ht="12.75">
      <c r="A96">
        <v>48</v>
      </c>
      <c r="B96" s="27">
        <f t="shared" si="8"/>
        <v>1</v>
      </c>
      <c r="D96" s="18">
        <v>41729</v>
      </c>
      <c r="E96" s="11">
        <f t="shared" si="6"/>
        <v>0</v>
      </c>
      <c r="F96" s="11">
        <f t="shared" si="10"/>
        <v>0</v>
      </c>
      <c r="G96" s="18"/>
      <c r="H96" s="11">
        <f t="shared" si="11"/>
        <v>0</v>
      </c>
      <c r="I96" s="11">
        <f t="shared" si="9"/>
        <v>0</v>
      </c>
      <c r="J96" s="11">
        <f t="shared" si="12"/>
        <v>0</v>
      </c>
      <c r="K96" s="11">
        <f t="shared" si="13"/>
        <v>0</v>
      </c>
    </row>
    <row r="97" spans="1:11" ht="12.75">
      <c r="A97">
        <v>49</v>
      </c>
      <c r="B97" s="27">
        <f t="shared" si="8"/>
        <v>1</v>
      </c>
      <c r="D97" s="18">
        <v>41759</v>
      </c>
      <c r="E97" s="11">
        <f t="shared" si="6"/>
        <v>0</v>
      </c>
      <c r="F97" s="11">
        <f t="shared" si="10"/>
        <v>0</v>
      </c>
      <c r="G97" s="18"/>
      <c r="H97" s="11">
        <f t="shared" si="11"/>
        <v>0</v>
      </c>
      <c r="I97" s="11">
        <f t="shared" si="9"/>
        <v>0</v>
      </c>
      <c r="J97" s="11">
        <f t="shared" si="12"/>
        <v>0</v>
      </c>
      <c r="K97" s="11">
        <f t="shared" si="13"/>
        <v>0</v>
      </c>
    </row>
    <row r="98" spans="1:11" ht="12.75">
      <c r="A98">
        <v>50</v>
      </c>
      <c r="B98" s="27">
        <f t="shared" si="8"/>
        <v>1</v>
      </c>
      <c r="D98" s="18">
        <v>41790</v>
      </c>
      <c r="E98" s="11">
        <f t="shared" si="6"/>
        <v>0</v>
      </c>
      <c r="F98" s="11">
        <f t="shared" si="10"/>
        <v>0</v>
      </c>
      <c r="G98" s="18"/>
      <c r="H98" s="11">
        <f t="shared" si="11"/>
        <v>0</v>
      </c>
      <c r="I98" s="11">
        <f t="shared" si="9"/>
        <v>0</v>
      </c>
      <c r="J98" s="11">
        <f t="shared" si="12"/>
        <v>0</v>
      </c>
      <c r="K98" s="11">
        <f t="shared" si="13"/>
        <v>0</v>
      </c>
    </row>
    <row r="99" spans="1:11" ht="12.75">
      <c r="A99">
        <v>51</v>
      </c>
      <c r="B99" s="27">
        <f t="shared" si="8"/>
        <v>1</v>
      </c>
      <c r="D99" s="18">
        <v>41820</v>
      </c>
      <c r="E99" s="11">
        <f t="shared" si="6"/>
        <v>0</v>
      </c>
      <c r="F99" s="11">
        <f t="shared" si="10"/>
        <v>0</v>
      </c>
      <c r="G99" s="18"/>
      <c r="H99" s="11">
        <f t="shared" si="11"/>
        <v>0</v>
      </c>
      <c r="I99" s="11">
        <f t="shared" si="9"/>
        <v>0</v>
      </c>
      <c r="J99" s="11">
        <f t="shared" si="12"/>
        <v>0</v>
      </c>
      <c r="K99" s="11">
        <f t="shared" si="13"/>
        <v>0</v>
      </c>
    </row>
    <row r="100" spans="1:11" ht="12.75">
      <c r="A100">
        <v>52</v>
      </c>
      <c r="B100" s="27">
        <f t="shared" si="8"/>
        <v>1</v>
      </c>
      <c r="D100" s="18">
        <v>41851</v>
      </c>
      <c r="E100" s="11">
        <f t="shared" si="6"/>
        <v>0</v>
      </c>
      <c r="F100" s="11">
        <f t="shared" si="10"/>
        <v>0</v>
      </c>
      <c r="G100" s="18"/>
      <c r="H100" s="11">
        <f t="shared" si="11"/>
        <v>0</v>
      </c>
      <c r="I100" s="11">
        <f t="shared" si="9"/>
        <v>0</v>
      </c>
      <c r="J100" s="11">
        <f t="shared" si="12"/>
        <v>0</v>
      </c>
      <c r="K100" s="11">
        <f t="shared" si="13"/>
        <v>0</v>
      </c>
    </row>
    <row r="101" spans="1:11" ht="12.75">
      <c r="A101">
        <v>53</v>
      </c>
      <c r="B101" s="27">
        <f t="shared" si="8"/>
        <v>1</v>
      </c>
      <c r="D101" s="18">
        <v>41882</v>
      </c>
      <c r="E101" s="11">
        <f t="shared" si="6"/>
        <v>0</v>
      </c>
      <c r="F101" s="11">
        <f>ROUND(B101*E101,2)</f>
        <v>0</v>
      </c>
      <c r="G101" s="18"/>
      <c r="H101" s="11">
        <f>K100</f>
        <v>0</v>
      </c>
      <c r="I101" s="11">
        <f t="shared" si="9"/>
        <v>0</v>
      </c>
      <c r="J101" s="11">
        <f>E101</f>
        <v>0</v>
      </c>
      <c r="K101" s="11">
        <f>H101+I101-J101</f>
        <v>0</v>
      </c>
    </row>
    <row r="102" spans="1:11" ht="12.75">
      <c r="A102">
        <v>54</v>
      </c>
      <c r="B102" s="27">
        <f t="shared" si="8"/>
        <v>1</v>
      </c>
      <c r="D102" s="18">
        <v>41912</v>
      </c>
      <c r="E102" s="11">
        <f t="shared" si="6"/>
        <v>0</v>
      </c>
      <c r="F102" s="11">
        <f>ROUND(B102*E102,2)</f>
        <v>0</v>
      </c>
      <c r="G102" s="18"/>
      <c r="H102" s="11">
        <f>K101</f>
        <v>0</v>
      </c>
      <c r="I102" s="11">
        <f t="shared" si="9"/>
        <v>0</v>
      </c>
      <c r="J102" s="11">
        <f>E102</f>
        <v>0</v>
      </c>
      <c r="K102" s="11">
        <f>H102+I102-J102</f>
        <v>0</v>
      </c>
    </row>
    <row r="103" spans="1:11" ht="12.75">
      <c r="A103">
        <v>55</v>
      </c>
      <c r="B103" s="27">
        <f t="shared" si="8"/>
        <v>1</v>
      </c>
      <c r="D103" s="18">
        <v>41943</v>
      </c>
      <c r="E103" s="11">
        <f t="shared" si="6"/>
        <v>0</v>
      </c>
      <c r="F103" s="11">
        <f>ROUND(B103*E103,2)</f>
        <v>0</v>
      </c>
      <c r="G103" s="18"/>
      <c r="H103" s="11">
        <f>K102</f>
        <v>0</v>
      </c>
      <c r="I103" s="11">
        <f t="shared" si="9"/>
        <v>0</v>
      </c>
      <c r="J103" s="11">
        <f>E103</f>
        <v>0</v>
      </c>
      <c r="K103" s="11">
        <f>H103+I103-J103</f>
        <v>0</v>
      </c>
    </row>
    <row r="104" spans="1:11" ht="12.75">
      <c r="A104">
        <v>56</v>
      </c>
      <c r="B104" s="27">
        <f t="shared" si="8"/>
        <v>1</v>
      </c>
      <c r="D104" s="18">
        <v>41973</v>
      </c>
      <c r="E104" s="11">
        <f t="shared" si="6"/>
        <v>0</v>
      </c>
      <c r="F104" s="11">
        <f>ROUND(B104*E104,2)</f>
        <v>0</v>
      </c>
      <c r="G104" s="18"/>
      <c r="H104" s="11">
        <f>K103</f>
        <v>0</v>
      </c>
      <c r="I104" s="11">
        <f t="shared" si="9"/>
        <v>0</v>
      </c>
      <c r="J104" s="11">
        <f>E104</f>
        <v>0</v>
      </c>
      <c r="K104" s="11">
        <f>H104+I104-J104</f>
        <v>0</v>
      </c>
    </row>
    <row r="105" spans="1:11" ht="12.75">
      <c r="A105">
        <v>57</v>
      </c>
      <c r="B105" s="27">
        <f t="shared" si="8"/>
        <v>1</v>
      </c>
      <c r="D105" s="18">
        <v>42004</v>
      </c>
      <c r="E105" s="11">
        <f t="shared" si="6"/>
        <v>0</v>
      </c>
      <c r="F105" s="11">
        <f>ROUND(B105*E105,2)</f>
        <v>0</v>
      </c>
      <c r="G105" s="18"/>
      <c r="H105" s="11">
        <f>K104</f>
        <v>0</v>
      </c>
      <c r="I105" s="11">
        <f t="shared" si="9"/>
        <v>0</v>
      </c>
      <c r="J105" s="11">
        <f>E105</f>
        <v>0</v>
      </c>
      <c r="K105" s="11">
        <f>H105+I105-J105</f>
        <v>0</v>
      </c>
    </row>
    <row r="106" spans="1:11" ht="12.75">
      <c r="A106">
        <v>58</v>
      </c>
      <c r="B106" s="27">
        <f t="shared" si="8"/>
        <v>1</v>
      </c>
      <c r="D106" s="18">
        <v>42035</v>
      </c>
      <c r="E106" s="11">
        <f t="shared" si="6"/>
        <v>0</v>
      </c>
      <c r="F106" s="11">
        <f aca="true" t="shared" si="14" ref="F106:F153">ROUND(B106*E106,2)</f>
        <v>0</v>
      </c>
      <c r="G106" s="18"/>
      <c r="H106" s="11">
        <f aca="true" t="shared" si="15" ref="H106:H153">K105</f>
        <v>0</v>
      </c>
      <c r="I106" s="11">
        <f t="shared" si="9"/>
        <v>0</v>
      </c>
      <c r="J106" s="11">
        <f aca="true" t="shared" si="16" ref="J106:J153">E106</f>
        <v>0</v>
      </c>
      <c r="K106" s="11">
        <f aca="true" t="shared" si="17" ref="K106:K153">H106+I106-J106</f>
        <v>0</v>
      </c>
    </row>
    <row r="107" spans="1:11" ht="12.75">
      <c r="A107">
        <v>59</v>
      </c>
      <c r="B107" s="27">
        <f t="shared" si="8"/>
        <v>1</v>
      </c>
      <c r="D107" s="18">
        <v>42063</v>
      </c>
      <c r="E107" s="11">
        <f t="shared" si="6"/>
        <v>0</v>
      </c>
      <c r="F107" s="11">
        <f t="shared" si="14"/>
        <v>0</v>
      </c>
      <c r="G107" s="18"/>
      <c r="H107" s="11">
        <f t="shared" si="15"/>
        <v>0</v>
      </c>
      <c r="I107" s="11">
        <f t="shared" si="9"/>
        <v>0</v>
      </c>
      <c r="J107" s="11">
        <f t="shared" si="16"/>
        <v>0</v>
      </c>
      <c r="K107" s="11">
        <f t="shared" si="17"/>
        <v>0</v>
      </c>
    </row>
    <row r="108" spans="1:11" ht="12.75">
      <c r="A108">
        <v>60</v>
      </c>
      <c r="B108" s="27">
        <f t="shared" si="8"/>
        <v>1</v>
      </c>
      <c r="D108" s="18">
        <v>42094</v>
      </c>
      <c r="E108" s="11">
        <f t="shared" si="6"/>
        <v>0</v>
      </c>
      <c r="F108" s="11">
        <f t="shared" si="14"/>
        <v>0</v>
      </c>
      <c r="G108" s="18"/>
      <c r="H108" s="11">
        <f t="shared" si="15"/>
        <v>0</v>
      </c>
      <c r="I108" s="11">
        <f t="shared" si="9"/>
        <v>0</v>
      </c>
      <c r="J108" s="11">
        <f t="shared" si="16"/>
        <v>0</v>
      </c>
      <c r="K108" s="11">
        <f t="shared" si="17"/>
        <v>0</v>
      </c>
    </row>
    <row r="109" spans="1:11" ht="12.75">
      <c r="A109">
        <v>61</v>
      </c>
      <c r="B109" s="27">
        <f t="shared" si="8"/>
        <v>1</v>
      </c>
      <c r="D109" s="18">
        <v>42124</v>
      </c>
      <c r="E109" s="11">
        <f t="shared" si="6"/>
        <v>0</v>
      </c>
      <c r="F109" s="11">
        <f t="shared" si="14"/>
        <v>0</v>
      </c>
      <c r="G109" s="18"/>
      <c r="H109" s="11">
        <f t="shared" si="15"/>
        <v>0</v>
      </c>
      <c r="I109" s="11">
        <f t="shared" si="9"/>
        <v>0</v>
      </c>
      <c r="J109" s="11">
        <f t="shared" si="16"/>
        <v>0</v>
      </c>
      <c r="K109" s="11">
        <f t="shared" si="17"/>
        <v>0</v>
      </c>
    </row>
    <row r="110" spans="1:11" ht="12.75">
      <c r="A110">
        <v>62</v>
      </c>
      <c r="B110" s="27">
        <f t="shared" si="8"/>
        <v>1</v>
      </c>
      <c r="D110" s="18">
        <v>42155</v>
      </c>
      <c r="E110" s="11">
        <f t="shared" si="6"/>
        <v>0</v>
      </c>
      <c r="F110" s="11">
        <f t="shared" si="14"/>
        <v>0</v>
      </c>
      <c r="G110" s="18"/>
      <c r="H110" s="11">
        <f t="shared" si="15"/>
        <v>0</v>
      </c>
      <c r="I110" s="11">
        <f t="shared" si="9"/>
        <v>0</v>
      </c>
      <c r="J110" s="11">
        <f t="shared" si="16"/>
        <v>0</v>
      </c>
      <c r="K110" s="11">
        <f t="shared" si="17"/>
        <v>0</v>
      </c>
    </row>
    <row r="111" spans="1:11" ht="12.75">
      <c r="A111">
        <v>63</v>
      </c>
      <c r="B111" s="27">
        <f t="shared" si="8"/>
        <v>1</v>
      </c>
      <c r="D111" s="18">
        <v>42185</v>
      </c>
      <c r="E111" s="11">
        <f t="shared" si="6"/>
        <v>0</v>
      </c>
      <c r="F111" s="11">
        <f t="shared" si="14"/>
        <v>0</v>
      </c>
      <c r="G111" s="18"/>
      <c r="H111" s="11">
        <f t="shared" si="15"/>
        <v>0</v>
      </c>
      <c r="I111" s="11">
        <f t="shared" si="9"/>
        <v>0</v>
      </c>
      <c r="J111" s="11">
        <f t="shared" si="16"/>
        <v>0</v>
      </c>
      <c r="K111" s="11">
        <f t="shared" si="17"/>
        <v>0</v>
      </c>
    </row>
    <row r="112" spans="1:11" ht="12.75">
      <c r="A112">
        <v>64</v>
      </c>
      <c r="B112" s="27">
        <f t="shared" si="8"/>
        <v>1</v>
      </c>
      <c r="D112" s="18">
        <v>42216</v>
      </c>
      <c r="E112" s="11">
        <f t="shared" si="6"/>
        <v>0</v>
      </c>
      <c r="F112" s="11">
        <f t="shared" si="14"/>
        <v>0</v>
      </c>
      <c r="G112" s="18"/>
      <c r="H112" s="11">
        <f t="shared" si="15"/>
        <v>0</v>
      </c>
      <c r="I112" s="11">
        <f t="shared" si="9"/>
        <v>0</v>
      </c>
      <c r="J112" s="11">
        <f t="shared" si="16"/>
        <v>0</v>
      </c>
      <c r="K112" s="11">
        <f t="shared" si="17"/>
        <v>0</v>
      </c>
    </row>
    <row r="113" spans="1:11" ht="12.75">
      <c r="A113">
        <v>65</v>
      </c>
      <c r="B113" s="27">
        <f aca="true" t="shared" si="18" ref="B113:B144">1/(1+$C$15)^A113</f>
        <v>1</v>
      </c>
      <c r="D113" s="18">
        <v>42247</v>
      </c>
      <c r="E113" s="11">
        <f t="shared" si="6"/>
        <v>0</v>
      </c>
      <c r="F113" s="11">
        <f t="shared" si="14"/>
        <v>0</v>
      </c>
      <c r="G113" s="18"/>
      <c r="H113" s="11">
        <f t="shared" si="15"/>
        <v>0</v>
      </c>
      <c r="I113" s="11">
        <f aca="true" t="shared" si="19" ref="I113:I144">IF(ISNA(VLOOKUP(D113,$A$20:$C$44,3)),ROUND(H113*$C$15,2),IF(VLOOKUP(D113,$A$20:$C$44,3)="N",ROUND(H113*$C$15,2),J113-H113))</f>
        <v>0</v>
      </c>
      <c r="J113" s="11">
        <f t="shared" si="16"/>
        <v>0</v>
      </c>
      <c r="K113" s="11">
        <f t="shared" si="17"/>
        <v>0</v>
      </c>
    </row>
    <row r="114" spans="1:11" ht="12.75">
      <c r="A114">
        <v>66</v>
      </c>
      <c r="B114" s="27">
        <f t="shared" si="18"/>
        <v>1</v>
      </c>
      <c r="D114" s="18">
        <v>42277</v>
      </c>
      <c r="E114" s="11">
        <f aca="true" t="shared" si="20" ref="E114:E153">ROUND(IF(ISNA(VLOOKUP(D114,$A$20:$B$44,2,FALSE)),0,VLOOKUP(D114,$A$20:$B$44,2,FALSE))*$B$10,2)</f>
        <v>0</v>
      </c>
      <c r="F114" s="11">
        <f t="shared" si="14"/>
        <v>0</v>
      </c>
      <c r="G114" s="18"/>
      <c r="H114" s="11">
        <f t="shared" si="15"/>
        <v>0</v>
      </c>
      <c r="I114" s="11">
        <f t="shared" si="19"/>
        <v>0</v>
      </c>
      <c r="J114" s="11">
        <f t="shared" si="16"/>
        <v>0</v>
      </c>
      <c r="K114" s="11">
        <f t="shared" si="17"/>
        <v>0</v>
      </c>
    </row>
    <row r="115" spans="1:11" ht="12.75">
      <c r="A115">
        <v>67</v>
      </c>
      <c r="B115" s="27">
        <f t="shared" si="18"/>
        <v>1</v>
      </c>
      <c r="D115" s="18">
        <v>42308</v>
      </c>
      <c r="E115" s="11">
        <f t="shared" si="20"/>
        <v>0</v>
      </c>
      <c r="F115" s="11">
        <f t="shared" si="14"/>
        <v>0</v>
      </c>
      <c r="G115" s="18"/>
      <c r="H115" s="11">
        <f t="shared" si="15"/>
        <v>0</v>
      </c>
      <c r="I115" s="11">
        <f t="shared" si="19"/>
        <v>0</v>
      </c>
      <c r="J115" s="11">
        <f t="shared" si="16"/>
        <v>0</v>
      </c>
      <c r="K115" s="11">
        <f t="shared" si="17"/>
        <v>0</v>
      </c>
    </row>
    <row r="116" spans="1:11" ht="12.75">
      <c r="A116">
        <v>68</v>
      </c>
      <c r="B116" s="27">
        <f t="shared" si="18"/>
        <v>1</v>
      </c>
      <c r="D116" s="18">
        <v>42338</v>
      </c>
      <c r="E116" s="11">
        <f t="shared" si="20"/>
        <v>0</v>
      </c>
      <c r="F116" s="11">
        <f t="shared" si="14"/>
        <v>0</v>
      </c>
      <c r="G116" s="18"/>
      <c r="H116" s="11">
        <f t="shared" si="15"/>
        <v>0</v>
      </c>
      <c r="I116" s="11">
        <f t="shared" si="19"/>
        <v>0</v>
      </c>
      <c r="J116" s="11">
        <f t="shared" si="16"/>
        <v>0</v>
      </c>
      <c r="K116" s="11">
        <f t="shared" si="17"/>
        <v>0</v>
      </c>
    </row>
    <row r="117" spans="1:11" ht="12.75">
      <c r="A117">
        <v>69</v>
      </c>
      <c r="B117" s="27">
        <f t="shared" si="18"/>
        <v>1</v>
      </c>
      <c r="D117" s="18">
        <v>42369</v>
      </c>
      <c r="E117" s="11">
        <f t="shared" si="20"/>
        <v>0</v>
      </c>
      <c r="F117" s="11">
        <f t="shared" si="14"/>
        <v>0</v>
      </c>
      <c r="G117" s="18"/>
      <c r="H117" s="11">
        <f t="shared" si="15"/>
        <v>0</v>
      </c>
      <c r="I117" s="11">
        <f t="shared" si="19"/>
        <v>0</v>
      </c>
      <c r="J117" s="11">
        <f t="shared" si="16"/>
        <v>0</v>
      </c>
      <c r="K117" s="11">
        <f t="shared" si="17"/>
        <v>0</v>
      </c>
    </row>
    <row r="118" spans="1:11" ht="12.75">
      <c r="A118">
        <v>70</v>
      </c>
      <c r="B118" s="27">
        <f t="shared" si="18"/>
        <v>1</v>
      </c>
      <c r="D118" s="18">
        <v>42400</v>
      </c>
      <c r="E118" s="11">
        <f t="shared" si="20"/>
        <v>0</v>
      </c>
      <c r="F118" s="11">
        <f t="shared" si="14"/>
        <v>0</v>
      </c>
      <c r="G118" s="18"/>
      <c r="H118" s="11">
        <f t="shared" si="15"/>
        <v>0</v>
      </c>
      <c r="I118" s="11">
        <f t="shared" si="19"/>
        <v>0</v>
      </c>
      <c r="J118" s="11">
        <f t="shared" si="16"/>
        <v>0</v>
      </c>
      <c r="K118" s="11">
        <f t="shared" si="17"/>
        <v>0</v>
      </c>
    </row>
    <row r="119" spans="1:11" ht="12.75">
      <c r="A119">
        <v>71</v>
      </c>
      <c r="B119" s="27">
        <f t="shared" si="18"/>
        <v>1</v>
      </c>
      <c r="D119" s="18">
        <v>42429</v>
      </c>
      <c r="E119" s="11">
        <f t="shared" si="20"/>
        <v>0</v>
      </c>
      <c r="F119" s="11">
        <f t="shared" si="14"/>
        <v>0</v>
      </c>
      <c r="G119" s="18"/>
      <c r="H119" s="11">
        <f t="shared" si="15"/>
        <v>0</v>
      </c>
      <c r="I119" s="11">
        <f t="shared" si="19"/>
        <v>0</v>
      </c>
      <c r="J119" s="11">
        <f t="shared" si="16"/>
        <v>0</v>
      </c>
      <c r="K119" s="11">
        <f t="shared" si="17"/>
        <v>0</v>
      </c>
    </row>
    <row r="120" spans="1:11" ht="12.75">
      <c r="A120">
        <v>72</v>
      </c>
      <c r="B120" s="27">
        <f t="shared" si="18"/>
        <v>1</v>
      </c>
      <c r="D120" s="18">
        <v>42460</v>
      </c>
      <c r="E120" s="11">
        <f t="shared" si="20"/>
        <v>0</v>
      </c>
      <c r="F120" s="11">
        <f t="shared" si="14"/>
        <v>0</v>
      </c>
      <c r="G120" s="18"/>
      <c r="H120" s="11">
        <f t="shared" si="15"/>
        <v>0</v>
      </c>
      <c r="I120" s="11">
        <f t="shared" si="19"/>
        <v>0</v>
      </c>
      <c r="J120" s="11">
        <f t="shared" si="16"/>
        <v>0</v>
      </c>
      <c r="K120" s="11">
        <f t="shared" si="17"/>
        <v>0</v>
      </c>
    </row>
    <row r="121" spans="1:11" ht="12.75">
      <c r="A121">
        <v>73</v>
      </c>
      <c r="B121" s="27">
        <f t="shared" si="18"/>
        <v>1</v>
      </c>
      <c r="D121" s="18">
        <v>42490</v>
      </c>
      <c r="E121" s="11">
        <f t="shared" si="20"/>
        <v>0</v>
      </c>
      <c r="F121" s="11">
        <f t="shared" si="14"/>
        <v>0</v>
      </c>
      <c r="G121" s="18"/>
      <c r="H121" s="11">
        <f t="shared" si="15"/>
        <v>0</v>
      </c>
      <c r="I121" s="11">
        <f t="shared" si="19"/>
        <v>0</v>
      </c>
      <c r="J121" s="11">
        <f t="shared" si="16"/>
        <v>0</v>
      </c>
      <c r="K121" s="11">
        <f t="shared" si="17"/>
        <v>0</v>
      </c>
    </row>
    <row r="122" spans="1:11" ht="12.75">
      <c r="A122">
        <v>74</v>
      </c>
      <c r="B122" s="27">
        <f t="shared" si="18"/>
        <v>1</v>
      </c>
      <c r="D122" s="18">
        <v>42521</v>
      </c>
      <c r="E122" s="11">
        <f t="shared" si="20"/>
        <v>0</v>
      </c>
      <c r="F122" s="11">
        <f t="shared" si="14"/>
        <v>0</v>
      </c>
      <c r="G122" s="18"/>
      <c r="H122" s="11">
        <f t="shared" si="15"/>
        <v>0</v>
      </c>
      <c r="I122" s="11">
        <f t="shared" si="19"/>
        <v>0</v>
      </c>
      <c r="J122" s="11">
        <f t="shared" si="16"/>
        <v>0</v>
      </c>
      <c r="K122" s="11">
        <f t="shared" si="17"/>
        <v>0</v>
      </c>
    </row>
    <row r="123" spans="1:11" ht="12.75">
      <c r="A123">
        <v>75</v>
      </c>
      <c r="B123" s="27">
        <f t="shared" si="18"/>
        <v>1</v>
      </c>
      <c r="D123" s="18">
        <v>42551</v>
      </c>
      <c r="E123" s="11">
        <f t="shared" si="20"/>
        <v>0</v>
      </c>
      <c r="F123" s="11">
        <f t="shared" si="14"/>
        <v>0</v>
      </c>
      <c r="G123" s="18"/>
      <c r="H123" s="11">
        <f t="shared" si="15"/>
        <v>0</v>
      </c>
      <c r="I123" s="11">
        <f t="shared" si="19"/>
        <v>0</v>
      </c>
      <c r="J123" s="11">
        <f t="shared" si="16"/>
        <v>0</v>
      </c>
      <c r="K123" s="11">
        <f t="shared" si="17"/>
        <v>0</v>
      </c>
    </row>
    <row r="124" spans="1:11" ht="12.75">
      <c r="A124">
        <v>76</v>
      </c>
      <c r="B124" s="27">
        <f t="shared" si="18"/>
        <v>1</v>
      </c>
      <c r="D124" s="18">
        <v>42582</v>
      </c>
      <c r="E124" s="11">
        <f t="shared" si="20"/>
        <v>0</v>
      </c>
      <c r="F124" s="11">
        <f t="shared" si="14"/>
        <v>0</v>
      </c>
      <c r="G124" s="18"/>
      <c r="H124" s="11">
        <f t="shared" si="15"/>
        <v>0</v>
      </c>
      <c r="I124" s="11">
        <f t="shared" si="19"/>
        <v>0</v>
      </c>
      <c r="J124" s="11">
        <f t="shared" si="16"/>
        <v>0</v>
      </c>
      <c r="K124" s="11">
        <f t="shared" si="17"/>
        <v>0</v>
      </c>
    </row>
    <row r="125" spans="1:11" ht="12.75">
      <c r="A125">
        <v>77</v>
      </c>
      <c r="B125" s="27">
        <f t="shared" si="18"/>
        <v>1</v>
      </c>
      <c r="D125" s="18">
        <v>42613</v>
      </c>
      <c r="E125" s="11">
        <f t="shared" si="20"/>
        <v>0</v>
      </c>
      <c r="F125" s="11">
        <f t="shared" si="14"/>
        <v>0</v>
      </c>
      <c r="G125" s="18"/>
      <c r="H125" s="11">
        <f t="shared" si="15"/>
        <v>0</v>
      </c>
      <c r="I125" s="11">
        <f t="shared" si="19"/>
        <v>0</v>
      </c>
      <c r="J125" s="11">
        <f t="shared" si="16"/>
        <v>0</v>
      </c>
      <c r="K125" s="11">
        <f t="shared" si="17"/>
        <v>0</v>
      </c>
    </row>
    <row r="126" spans="1:11" ht="12.75">
      <c r="A126">
        <v>78</v>
      </c>
      <c r="B126" s="27">
        <f t="shared" si="18"/>
        <v>1</v>
      </c>
      <c r="D126" s="18">
        <v>42643</v>
      </c>
      <c r="E126" s="11">
        <f t="shared" si="20"/>
        <v>0</v>
      </c>
      <c r="F126" s="11">
        <f t="shared" si="14"/>
        <v>0</v>
      </c>
      <c r="G126" s="18"/>
      <c r="H126" s="11">
        <f t="shared" si="15"/>
        <v>0</v>
      </c>
      <c r="I126" s="11">
        <f t="shared" si="19"/>
        <v>0</v>
      </c>
      <c r="J126" s="11">
        <f t="shared" si="16"/>
        <v>0</v>
      </c>
      <c r="K126" s="11">
        <f t="shared" si="17"/>
        <v>0</v>
      </c>
    </row>
    <row r="127" spans="1:11" ht="12.75">
      <c r="A127">
        <v>79</v>
      </c>
      <c r="B127" s="27">
        <f t="shared" si="18"/>
        <v>1</v>
      </c>
      <c r="D127" s="18">
        <v>42674</v>
      </c>
      <c r="E127" s="11">
        <f t="shared" si="20"/>
        <v>0</v>
      </c>
      <c r="F127" s="11">
        <f t="shared" si="14"/>
        <v>0</v>
      </c>
      <c r="G127" s="18"/>
      <c r="H127" s="11">
        <f t="shared" si="15"/>
        <v>0</v>
      </c>
      <c r="I127" s="11">
        <f t="shared" si="19"/>
        <v>0</v>
      </c>
      <c r="J127" s="11">
        <f t="shared" si="16"/>
        <v>0</v>
      </c>
      <c r="K127" s="11">
        <f t="shared" si="17"/>
        <v>0</v>
      </c>
    </row>
    <row r="128" spans="1:11" ht="12.75">
      <c r="A128">
        <v>80</v>
      </c>
      <c r="B128" s="27">
        <f t="shared" si="18"/>
        <v>1</v>
      </c>
      <c r="D128" s="18">
        <v>42704</v>
      </c>
      <c r="E128" s="11">
        <f t="shared" si="20"/>
        <v>0</v>
      </c>
      <c r="F128" s="11">
        <f t="shared" si="14"/>
        <v>0</v>
      </c>
      <c r="G128" s="18"/>
      <c r="H128" s="11">
        <f t="shared" si="15"/>
        <v>0</v>
      </c>
      <c r="I128" s="11">
        <f t="shared" si="19"/>
        <v>0</v>
      </c>
      <c r="J128" s="11">
        <f t="shared" si="16"/>
        <v>0</v>
      </c>
      <c r="K128" s="11">
        <f t="shared" si="17"/>
        <v>0</v>
      </c>
    </row>
    <row r="129" spans="1:11" ht="12.75">
      <c r="A129">
        <v>81</v>
      </c>
      <c r="B129" s="27">
        <f t="shared" si="18"/>
        <v>1</v>
      </c>
      <c r="D129" s="18">
        <v>42735</v>
      </c>
      <c r="E129" s="11">
        <f t="shared" si="20"/>
        <v>0</v>
      </c>
      <c r="F129" s="11">
        <f t="shared" si="14"/>
        <v>0</v>
      </c>
      <c r="G129" s="18"/>
      <c r="H129" s="11">
        <f t="shared" si="15"/>
        <v>0</v>
      </c>
      <c r="I129" s="11">
        <f t="shared" si="19"/>
        <v>0</v>
      </c>
      <c r="J129" s="11">
        <f t="shared" si="16"/>
        <v>0</v>
      </c>
      <c r="K129" s="11">
        <f t="shared" si="17"/>
        <v>0</v>
      </c>
    </row>
    <row r="130" spans="1:11" ht="12.75">
      <c r="A130">
        <v>82</v>
      </c>
      <c r="B130" s="27">
        <f t="shared" si="18"/>
        <v>1</v>
      </c>
      <c r="D130" s="18">
        <v>42766</v>
      </c>
      <c r="E130" s="11">
        <f t="shared" si="20"/>
        <v>0</v>
      </c>
      <c r="F130" s="11">
        <f t="shared" si="14"/>
        <v>0</v>
      </c>
      <c r="G130" s="18"/>
      <c r="H130" s="11">
        <f t="shared" si="15"/>
        <v>0</v>
      </c>
      <c r="I130" s="11">
        <f t="shared" si="19"/>
        <v>0</v>
      </c>
      <c r="J130" s="11">
        <f t="shared" si="16"/>
        <v>0</v>
      </c>
      <c r="K130" s="11">
        <f t="shared" si="17"/>
        <v>0</v>
      </c>
    </row>
    <row r="131" spans="1:11" ht="12.75">
      <c r="A131">
        <v>83</v>
      </c>
      <c r="B131" s="27">
        <f t="shared" si="18"/>
        <v>1</v>
      </c>
      <c r="D131" s="18">
        <v>42794</v>
      </c>
      <c r="E131" s="11">
        <f t="shared" si="20"/>
        <v>0</v>
      </c>
      <c r="F131" s="11">
        <f t="shared" si="14"/>
        <v>0</v>
      </c>
      <c r="G131" s="18"/>
      <c r="H131" s="11">
        <f t="shared" si="15"/>
        <v>0</v>
      </c>
      <c r="I131" s="11">
        <f t="shared" si="19"/>
        <v>0</v>
      </c>
      <c r="J131" s="11">
        <f t="shared" si="16"/>
        <v>0</v>
      </c>
      <c r="K131" s="11">
        <f t="shared" si="17"/>
        <v>0</v>
      </c>
    </row>
    <row r="132" spans="1:11" ht="12.75">
      <c r="A132">
        <v>84</v>
      </c>
      <c r="B132" s="27">
        <f t="shared" si="18"/>
        <v>1</v>
      </c>
      <c r="D132" s="18">
        <v>42825</v>
      </c>
      <c r="E132" s="11">
        <f t="shared" si="20"/>
        <v>0</v>
      </c>
      <c r="F132" s="11">
        <f t="shared" si="14"/>
        <v>0</v>
      </c>
      <c r="G132" s="18"/>
      <c r="H132" s="11">
        <f t="shared" si="15"/>
        <v>0</v>
      </c>
      <c r="I132" s="11">
        <f t="shared" si="19"/>
        <v>0</v>
      </c>
      <c r="J132" s="11">
        <f t="shared" si="16"/>
        <v>0</v>
      </c>
      <c r="K132" s="11">
        <f t="shared" si="17"/>
        <v>0</v>
      </c>
    </row>
    <row r="133" spans="1:11" ht="12.75">
      <c r="A133">
        <v>85</v>
      </c>
      <c r="B133" s="27">
        <f t="shared" si="18"/>
        <v>1</v>
      </c>
      <c r="D133" s="18">
        <v>42855</v>
      </c>
      <c r="E133" s="11">
        <f t="shared" si="20"/>
        <v>0</v>
      </c>
      <c r="F133" s="11">
        <f t="shared" si="14"/>
        <v>0</v>
      </c>
      <c r="G133" s="18"/>
      <c r="H133" s="11">
        <f t="shared" si="15"/>
        <v>0</v>
      </c>
      <c r="I133" s="11">
        <f t="shared" si="19"/>
        <v>0</v>
      </c>
      <c r="J133" s="11">
        <f t="shared" si="16"/>
        <v>0</v>
      </c>
      <c r="K133" s="11">
        <f t="shared" si="17"/>
        <v>0</v>
      </c>
    </row>
    <row r="134" spans="1:11" ht="12.75">
      <c r="A134">
        <v>86</v>
      </c>
      <c r="B134" s="27">
        <f t="shared" si="18"/>
        <v>1</v>
      </c>
      <c r="D134" s="18">
        <v>42886</v>
      </c>
      <c r="E134" s="11">
        <f t="shared" si="20"/>
        <v>0</v>
      </c>
      <c r="F134" s="11">
        <f t="shared" si="14"/>
        <v>0</v>
      </c>
      <c r="G134" s="18"/>
      <c r="H134" s="11">
        <f t="shared" si="15"/>
        <v>0</v>
      </c>
      <c r="I134" s="11">
        <f t="shared" si="19"/>
        <v>0</v>
      </c>
      <c r="J134" s="11">
        <f t="shared" si="16"/>
        <v>0</v>
      </c>
      <c r="K134" s="11">
        <f t="shared" si="17"/>
        <v>0</v>
      </c>
    </row>
    <row r="135" spans="1:11" ht="12.75">
      <c r="A135">
        <v>87</v>
      </c>
      <c r="B135" s="27">
        <f t="shared" si="18"/>
        <v>1</v>
      </c>
      <c r="D135" s="18">
        <v>42916</v>
      </c>
      <c r="E135" s="11">
        <f t="shared" si="20"/>
        <v>0</v>
      </c>
      <c r="F135" s="11">
        <f t="shared" si="14"/>
        <v>0</v>
      </c>
      <c r="G135" s="18"/>
      <c r="H135" s="11">
        <f t="shared" si="15"/>
        <v>0</v>
      </c>
      <c r="I135" s="11">
        <f t="shared" si="19"/>
        <v>0</v>
      </c>
      <c r="J135" s="11">
        <f t="shared" si="16"/>
        <v>0</v>
      </c>
      <c r="K135" s="11">
        <f t="shared" si="17"/>
        <v>0</v>
      </c>
    </row>
    <row r="136" spans="1:11" ht="12.75">
      <c r="A136">
        <v>88</v>
      </c>
      <c r="B136" s="27">
        <f t="shared" si="18"/>
        <v>1</v>
      </c>
      <c r="D136" s="18">
        <v>42947</v>
      </c>
      <c r="E136" s="11">
        <f t="shared" si="20"/>
        <v>0</v>
      </c>
      <c r="F136" s="11">
        <f t="shared" si="14"/>
        <v>0</v>
      </c>
      <c r="G136" s="18"/>
      <c r="H136" s="11">
        <f t="shared" si="15"/>
        <v>0</v>
      </c>
      <c r="I136" s="11">
        <f t="shared" si="19"/>
        <v>0</v>
      </c>
      <c r="J136" s="11">
        <f t="shared" si="16"/>
        <v>0</v>
      </c>
      <c r="K136" s="11">
        <f t="shared" si="17"/>
        <v>0</v>
      </c>
    </row>
    <row r="137" spans="1:11" ht="12.75">
      <c r="A137">
        <v>89</v>
      </c>
      <c r="B137" s="27">
        <f t="shared" si="18"/>
        <v>1</v>
      </c>
      <c r="D137" s="18">
        <v>42978</v>
      </c>
      <c r="E137" s="11">
        <f t="shared" si="20"/>
        <v>0</v>
      </c>
      <c r="F137" s="11">
        <f t="shared" si="14"/>
        <v>0</v>
      </c>
      <c r="G137" s="18"/>
      <c r="H137" s="11">
        <f t="shared" si="15"/>
        <v>0</v>
      </c>
      <c r="I137" s="11">
        <f t="shared" si="19"/>
        <v>0</v>
      </c>
      <c r="J137" s="11">
        <f t="shared" si="16"/>
        <v>0</v>
      </c>
      <c r="K137" s="11">
        <f t="shared" si="17"/>
        <v>0</v>
      </c>
    </row>
    <row r="138" spans="1:11" ht="12.75">
      <c r="A138">
        <v>90</v>
      </c>
      <c r="B138" s="27">
        <f t="shared" si="18"/>
        <v>1</v>
      </c>
      <c r="D138" s="18">
        <v>43008</v>
      </c>
      <c r="E138" s="11">
        <f t="shared" si="20"/>
        <v>0</v>
      </c>
      <c r="F138" s="11">
        <f t="shared" si="14"/>
        <v>0</v>
      </c>
      <c r="G138" s="18"/>
      <c r="H138" s="11">
        <f t="shared" si="15"/>
        <v>0</v>
      </c>
      <c r="I138" s="11">
        <f t="shared" si="19"/>
        <v>0</v>
      </c>
      <c r="J138" s="11">
        <f t="shared" si="16"/>
        <v>0</v>
      </c>
      <c r="K138" s="11">
        <f t="shared" si="17"/>
        <v>0</v>
      </c>
    </row>
    <row r="139" spans="1:11" ht="12.75">
      <c r="A139">
        <v>91</v>
      </c>
      <c r="B139" s="27">
        <f t="shared" si="18"/>
        <v>1</v>
      </c>
      <c r="D139" s="18">
        <v>43039</v>
      </c>
      <c r="E139" s="11">
        <f t="shared" si="20"/>
        <v>0</v>
      </c>
      <c r="F139" s="11">
        <f t="shared" si="14"/>
        <v>0</v>
      </c>
      <c r="G139" s="18"/>
      <c r="H139" s="11">
        <f t="shared" si="15"/>
        <v>0</v>
      </c>
      <c r="I139" s="11">
        <f t="shared" si="19"/>
        <v>0</v>
      </c>
      <c r="J139" s="11">
        <f t="shared" si="16"/>
        <v>0</v>
      </c>
      <c r="K139" s="11">
        <f t="shared" si="17"/>
        <v>0</v>
      </c>
    </row>
    <row r="140" spans="1:11" ht="12.75">
      <c r="A140">
        <v>92</v>
      </c>
      <c r="B140" s="27">
        <f t="shared" si="18"/>
        <v>1</v>
      </c>
      <c r="D140" s="18">
        <v>43069</v>
      </c>
      <c r="E140" s="11">
        <f t="shared" si="20"/>
        <v>0</v>
      </c>
      <c r="F140" s="11">
        <f t="shared" si="14"/>
        <v>0</v>
      </c>
      <c r="G140" s="18"/>
      <c r="H140" s="11">
        <f t="shared" si="15"/>
        <v>0</v>
      </c>
      <c r="I140" s="11">
        <f t="shared" si="19"/>
        <v>0</v>
      </c>
      <c r="J140" s="11">
        <f t="shared" si="16"/>
        <v>0</v>
      </c>
      <c r="K140" s="11">
        <f t="shared" si="17"/>
        <v>0</v>
      </c>
    </row>
    <row r="141" spans="1:11" ht="12.75">
      <c r="A141">
        <v>93</v>
      </c>
      <c r="B141" s="27">
        <f t="shared" si="18"/>
        <v>1</v>
      </c>
      <c r="D141" s="18">
        <v>43100</v>
      </c>
      <c r="E141" s="11">
        <f t="shared" si="20"/>
        <v>0</v>
      </c>
      <c r="F141" s="11">
        <f t="shared" si="14"/>
        <v>0</v>
      </c>
      <c r="G141" s="18"/>
      <c r="H141" s="11">
        <f t="shared" si="15"/>
        <v>0</v>
      </c>
      <c r="I141" s="11">
        <f t="shared" si="19"/>
        <v>0</v>
      </c>
      <c r="J141" s="11">
        <f t="shared" si="16"/>
        <v>0</v>
      </c>
      <c r="K141" s="11">
        <f t="shared" si="17"/>
        <v>0</v>
      </c>
    </row>
    <row r="142" spans="1:11" ht="12.75">
      <c r="A142">
        <v>94</v>
      </c>
      <c r="B142" s="27">
        <f t="shared" si="18"/>
        <v>1</v>
      </c>
      <c r="D142" s="18">
        <v>43131</v>
      </c>
      <c r="E142" s="11">
        <f t="shared" si="20"/>
        <v>0</v>
      </c>
      <c r="F142" s="11">
        <f t="shared" si="14"/>
        <v>0</v>
      </c>
      <c r="G142" s="18"/>
      <c r="H142" s="11">
        <f t="shared" si="15"/>
        <v>0</v>
      </c>
      <c r="I142" s="11">
        <f t="shared" si="19"/>
        <v>0</v>
      </c>
      <c r="J142" s="11">
        <f t="shared" si="16"/>
        <v>0</v>
      </c>
      <c r="K142" s="11">
        <f t="shared" si="17"/>
        <v>0</v>
      </c>
    </row>
    <row r="143" spans="1:11" ht="12.75">
      <c r="A143">
        <v>95</v>
      </c>
      <c r="B143" s="27">
        <f t="shared" si="18"/>
        <v>1</v>
      </c>
      <c r="D143" s="18">
        <v>43159</v>
      </c>
      <c r="E143" s="11">
        <f t="shared" si="20"/>
        <v>0</v>
      </c>
      <c r="F143" s="11">
        <f t="shared" si="14"/>
        <v>0</v>
      </c>
      <c r="G143" s="18"/>
      <c r="H143" s="11">
        <f t="shared" si="15"/>
        <v>0</v>
      </c>
      <c r="I143" s="11">
        <f t="shared" si="19"/>
        <v>0</v>
      </c>
      <c r="J143" s="11">
        <f t="shared" si="16"/>
        <v>0</v>
      </c>
      <c r="K143" s="11">
        <f t="shared" si="17"/>
        <v>0</v>
      </c>
    </row>
    <row r="144" spans="1:11" ht="12.75">
      <c r="A144">
        <v>96</v>
      </c>
      <c r="B144" s="27">
        <f t="shared" si="18"/>
        <v>1</v>
      </c>
      <c r="D144" s="18">
        <v>43190</v>
      </c>
      <c r="E144" s="11">
        <f t="shared" si="20"/>
        <v>0</v>
      </c>
      <c r="F144" s="11">
        <f t="shared" si="14"/>
        <v>0</v>
      </c>
      <c r="G144" s="18"/>
      <c r="H144" s="11">
        <f t="shared" si="15"/>
        <v>0</v>
      </c>
      <c r="I144" s="11">
        <f t="shared" si="19"/>
        <v>0</v>
      </c>
      <c r="J144" s="11">
        <f t="shared" si="16"/>
        <v>0</v>
      </c>
      <c r="K144" s="11">
        <f t="shared" si="17"/>
        <v>0</v>
      </c>
    </row>
    <row r="145" spans="1:11" ht="12.75">
      <c r="A145">
        <v>97</v>
      </c>
      <c r="B145" s="27">
        <f>1/(1+$C$15)^A145</f>
        <v>1</v>
      </c>
      <c r="D145" s="18">
        <v>43220</v>
      </c>
      <c r="E145" s="11">
        <f t="shared" si="20"/>
        <v>0</v>
      </c>
      <c r="F145" s="11">
        <f t="shared" si="14"/>
        <v>0</v>
      </c>
      <c r="G145" s="18"/>
      <c r="H145" s="11">
        <f t="shared" si="15"/>
        <v>0</v>
      </c>
      <c r="I145" s="11">
        <f>IF(ISNA(VLOOKUP(D145,$A$20:$C$44,3)),ROUND(H145*$C$15,2),IF(VLOOKUP(D145,$A$20:$C$44,3)="N",ROUND(H145*$C$15,2),J145-H145))</f>
        <v>0</v>
      </c>
      <c r="J145" s="11">
        <f t="shared" si="16"/>
        <v>0</v>
      </c>
      <c r="K145" s="11">
        <f t="shared" si="17"/>
        <v>0</v>
      </c>
    </row>
    <row r="146" spans="1:11" ht="12.75">
      <c r="A146">
        <v>98</v>
      </c>
      <c r="B146" s="27">
        <f>1/(1+$C$15)^A146</f>
        <v>1</v>
      </c>
      <c r="D146" s="18">
        <v>43251</v>
      </c>
      <c r="E146" s="11">
        <f t="shared" si="20"/>
        <v>0</v>
      </c>
      <c r="F146" s="11">
        <f t="shared" si="14"/>
        <v>0</v>
      </c>
      <c r="G146" s="18"/>
      <c r="H146" s="11">
        <f t="shared" si="15"/>
        <v>0</v>
      </c>
      <c r="I146" s="11">
        <f>IF(ISNA(VLOOKUP(D146,$A$20:$C$44,3)),ROUND(H146*$C$15,2),IF(VLOOKUP(D146,$A$20:$C$44,3)="N",ROUND(H146*$C$15,2),J146-H146))</f>
        <v>0</v>
      </c>
      <c r="J146" s="11">
        <f t="shared" si="16"/>
        <v>0</v>
      </c>
      <c r="K146" s="11">
        <f t="shared" si="17"/>
        <v>0</v>
      </c>
    </row>
    <row r="147" spans="1:11" ht="12.75">
      <c r="A147">
        <v>99</v>
      </c>
      <c r="B147" s="27">
        <f>1/(1+$C$15)^A147</f>
        <v>1</v>
      </c>
      <c r="D147" s="18">
        <v>43281</v>
      </c>
      <c r="E147" s="11">
        <f t="shared" si="20"/>
        <v>0</v>
      </c>
      <c r="F147" s="11">
        <f t="shared" si="14"/>
        <v>0</v>
      </c>
      <c r="G147" s="18"/>
      <c r="H147" s="11">
        <f t="shared" si="15"/>
        <v>0</v>
      </c>
      <c r="I147" s="11">
        <f>IF(ISNA(VLOOKUP(D147,$A$20:$C$44,3)),ROUND(H147*$C$15,2),IF(VLOOKUP(D147,$A$20:$C$44,3)="N",ROUND(H147*$C$15,2),J147-H147))</f>
        <v>0</v>
      </c>
      <c r="J147" s="11">
        <f t="shared" si="16"/>
        <v>0</v>
      </c>
      <c r="K147" s="11">
        <f t="shared" si="17"/>
        <v>0</v>
      </c>
    </row>
    <row r="148" spans="1:11" ht="12.75">
      <c r="A148">
        <v>100</v>
      </c>
      <c r="B148" s="27">
        <f>1/(1+$C$15)^A148</f>
        <v>1</v>
      </c>
      <c r="D148" s="18">
        <v>43312</v>
      </c>
      <c r="E148" s="11">
        <f t="shared" si="20"/>
        <v>0</v>
      </c>
      <c r="F148" s="11">
        <f t="shared" si="14"/>
        <v>0</v>
      </c>
      <c r="G148" s="18"/>
      <c r="H148" s="11">
        <f t="shared" si="15"/>
        <v>0</v>
      </c>
      <c r="I148" s="11">
        <f>IF(ISNA(VLOOKUP(D148,$A$20:$C$44,3)),ROUND(H148*$C$15,2),IF(VLOOKUP(D148,$A$20:$C$44,3)="N",ROUND(H148*$C$15,2),J148-H148))</f>
        <v>0</v>
      </c>
      <c r="J148" s="11">
        <f t="shared" si="16"/>
        <v>0</v>
      </c>
      <c r="K148" s="11">
        <f t="shared" si="17"/>
        <v>0</v>
      </c>
    </row>
    <row r="149" spans="1:11" ht="12.75">
      <c r="A149">
        <v>101</v>
      </c>
      <c r="B149" s="27">
        <f>1/(1+$C$15)^A149</f>
        <v>1</v>
      </c>
      <c r="D149" s="18">
        <v>43343</v>
      </c>
      <c r="E149" s="11">
        <f t="shared" si="20"/>
        <v>0</v>
      </c>
      <c r="F149" s="11">
        <f t="shared" si="14"/>
        <v>0</v>
      </c>
      <c r="G149" s="18"/>
      <c r="H149" s="11">
        <f t="shared" si="15"/>
        <v>0</v>
      </c>
      <c r="I149" s="11">
        <f>IF(ISNA(VLOOKUP(D149,$A$20:$C$44,3)),ROUND(H149*$C$15,2),IF(VLOOKUP(D149,$A$20:$C$44,3)="N",ROUND(H149*$C$15,2),J149-H149))</f>
        <v>0</v>
      </c>
      <c r="J149" s="11">
        <f t="shared" si="16"/>
        <v>0</v>
      </c>
      <c r="K149" s="11">
        <f t="shared" si="17"/>
        <v>0</v>
      </c>
    </row>
    <row r="150" spans="1:11" ht="12.75">
      <c r="A150">
        <v>102</v>
      </c>
      <c r="B150" s="27">
        <f>1/(1+$C$15)^A150</f>
        <v>1</v>
      </c>
      <c r="D150" s="18">
        <v>43373</v>
      </c>
      <c r="E150" s="11">
        <f t="shared" si="20"/>
        <v>0</v>
      </c>
      <c r="F150" s="11">
        <f t="shared" si="14"/>
        <v>0</v>
      </c>
      <c r="G150" s="18"/>
      <c r="H150" s="11">
        <f t="shared" si="15"/>
        <v>0</v>
      </c>
      <c r="I150" s="11">
        <f>IF(ISNA(VLOOKUP(D150,$A$20:$C$44,3)),ROUND(H150*$C$15,2),IF(VLOOKUP(D150,$A$20:$C$44,3)="N",ROUND(H150*$C$15,2),J150-H150))</f>
        <v>0</v>
      </c>
      <c r="J150" s="11">
        <f t="shared" si="16"/>
        <v>0</v>
      </c>
      <c r="K150" s="11">
        <f t="shared" si="17"/>
        <v>0</v>
      </c>
    </row>
    <row r="151" spans="1:11" ht="12.75">
      <c r="A151">
        <v>103</v>
      </c>
      <c r="B151" s="27">
        <f>1/(1+$C$15)^A151</f>
        <v>1</v>
      </c>
      <c r="D151" s="18">
        <v>43404</v>
      </c>
      <c r="E151" s="11">
        <f t="shared" si="20"/>
        <v>0</v>
      </c>
      <c r="F151" s="11">
        <f t="shared" si="14"/>
        <v>0</v>
      </c>
      <c r="G151" s="18"/>
      <c r="H151" s="11">
        <f t="shared" si="15"/>
        <v>0</v>
      </c>
      <c r="I151" s="11">
        <f>IF(ISNA(VLOOKUP(D151,$A$20:$C$44,3)),ROUND(H151*$C$15,2),IF(VLOOKUP(D151,$A$20:$C$44,3)="N",ROUND(H151*$C$15,2),J151-H151))</f>
        <v>0</v>
      </c>
      <c r="J151" s="11">
        <f t="shared" si="16"/>
        <v>0</v>
      </c>
      <c r="K151" s="11">
        <f t="shared" si="17"/>
        <v>0</v>
      </c>
    </row>
    <row r="152" spans="1:11" ht="12.75">
      <c r="A152">
        <v>104</v>
      </c>
      <c r="B152" s="27">
        <f>1/(1+$C$15)^A152</f>
        <v>1</v>
      </c>
      <c r="D152" s="18">
        <v>43434</v>
      </c>
      <c r="E152" s="11">
        <f t="shared" si="20"/>
        <v>0</v>
      </c>
      <c r="F152" s="11">
        <f t="shared" si="14"/>
        <v>0</v>
      </c>
      <c r="G152" s="18"/>
      <c r="H152" s="11">
        <f t="shared" si="15"/>
        <v>0</v>
      </c>
      <c r="I152" s="11">
        <f>IF(ISNA(VLOOKUP(D152,$A$20:$C$44,3)),ROUND(H152*$C$15,2),IF(VLOOKUP(D152,$A$20:$C$44,3)="N",ROUND(H152*$C$15,2),J152-H152))</f>
        <v>0</v>
      </c>
      <c r="J152" s="11">
        <f t="shared" si="16"/>
        <v>0</v>
      </c>
      <c r="K152" s="11">
        <f t="shared" si="17"/>
        <v>0</v>
      </c>
    </row>
    <row r="153" spans="1:11" ht="12.75">
      <c r="A153">
        <v>105</v>
      </c>
      <c r="B153" s="27">
        <f>1/(1+$C$15)^A153</f>
        <v>1</v>
      </c>
      <c r="D153" s="18">
        <v>43465</v>
      </c>
      <c r="E153" s="11">
        <f t="shared" si="20"/>
        <v>0</v>
      </c>
      <c r="F153" s="11">
        <f t="shared" si="14"/>
        <v>0</v>
      </c>
      <c r="G153" s="18"/>
      <c r="H153" s="11">
        <f t="shared" si="15"/>
        <v>0</v>
      </c>
      <c r="I153" s="11">
        <f>IF(ISNA(VLOOKUP(D153,$A$20:$C$44,3)),ROUND(H153*$C$15,2),IF(VLOOKUP(D153,$A$20:$C$44,3)="N",ROUND(H153*$C$15,2),J153-H153))</f>
        <v>0</v>
      </c>
      <c r="J153" s="11">
        <f t="shared" si="16"/>
        <v>0</v>
      </c>
      <c r="K153" s="11">
        <f t="shared" si="17"/>
        <v>0</v>
      </c>
    </row>
    <row r="155" spans="5:6" ht="12.75">
      <c r="E155" s="11">
        <f>SUM(E49:E154)</f>
        <v>0</v>
      </c>
      <c r="F155" s="11">
        <f>SUM(F49:F154)</f>
        <v>0</v>
      </c>
    </row>
  </sheetData>
  <sheetProtection sheet="1"/>
  <dataValidations count="1">
    <dataValidation type="list" allowBlank="1" showErrorMessage="1" sqref="B3">
      <formula1>BankName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14.66015625" style="0" customWidth="1"/>
    <col min="2" max="5" width="20.83203125" style="0" customWidth="1"/>
    <col min="6" max="6" width="25.16015625" style="0" bestFit="1" customWidth="1"/>
    <col min="7" max="7" width="20.83203125" style="0" customWidth="1"/>
  </cols>
  <sheetData>
    <row r="1" spans="2:7" ht="12.75">
      <c r="B1" s="30" t="s">
        <v>41</v>
      </c>
      <c r="C1" s="30" t="s">
        <v>42</v>
      </c>
      <c r="D1" s="31" t="s">
        <v>28</v>
      </c>
      <c r="E1" s="31" t="s">
        <v>29</v>
      </c>
      <c r="F1" s="30" t="s">
        <v>43</v>
      </c>
      <c r="G1" s="30" t="s">
        <v>44</v>
      </c>
    </row>
    <row r="2" spans="2:7" ht="12.75">
      <c r="B2" s="28">
        <v>39925</v>
      </c>
      <c r="C2" s="28">
        <v>39925</v>
      </c>
      <c r="D2" s="28">
        <v>39727</v>
      </c>
      <c r="E2" s="28">
        <v>39728</v>
      </c>
      <c r="F2" s="28">
        <v>39925</v>
      </c>
      <c r="G2" s="28">
        <v>39925</v>
      </c>
    </row>
    <row r="3" spans="2:7" ht="12.75">
      <c r="B3">
        <v>2</v>
      </c>
      <c r="C3">
        <v>3</v>
      </c>
      <c r="D3">
        <v>4</v>
      </c>
      <c r="E3">
        <v>5</v>
      </c>
      <c r="F3">
        <v>6</v>
      </c>
      <c r="G3">
        <v>7</v>
      </c>
    </row>
    <row r="4" spans="1:7" ht="12.75">
      <c r="A4" s="23">
        <v>40359</v>
      </c>
      <c r="B4" s="36"/>
      <c r="C4" s="36"/>
      <c r="D4" s="36">
        <v>0.05</v>
      </c>
      <c r="E4" s="36"/>
      <c r="F4" s="36"/>
      <c r="G4" s="36"/>
    </row>
    <row r="5" spans="1:7" ht="12.75">
      <c r="A5" s="23">
        <v>40390</v>
      </c>
      <c r="B5" s="36"/>
      <c r="C5" s="36"/>
      <c r="D5" s="36"/>
      <c r="E5" s="36">
        <v>0.06</v>
      </c>
      <c r="F5" s="36"/>
      <c r="G5" s="36"/>
    </row>
    <row r="6" spans="1:7" ht="12.75">
      <c r="A6" s="23">
        <v>40451</v>
      </c>
      <c r="B6" s="36"/>
      <c r="C6" s="36"/>
      <c r="D6" s="36">
        <v>0.05</v>
      </c>
      <c r="E6" s="36"/>
      <c r="F6" s="36"/>
      <c r="G6" s="36"/>
    </row>
    <row r="7" spans="1:7" ht="12.75">
      <c r="A7" s="23">
        <v>40543</v>
      </c>
      <c r="B7" s="36"/>
      <c r="C7" s="36"/>
      <c r="D7" s="36">
        <v>0.05</v>
      </c>
      <c r="E7" s="36"/>
      <c r="F7" s="36"/>
      <c r="G7" s="36"/>
    </row>
    <row r="8" spans="1:7" ht="12.75">
      <c r="A8" s="23">
        <v>40574</v>
      </c>
      <c r="B8" s="36"/>
      <c r="C8" s="36"/>
      <c r="D8" s="36"/>
      <c r="E8" s="36">
        <v>0.06</v>
      </c>
      <c r="F8" s="36"/>
      <c r="G8" s="36"/>
    </row>
    <row r="9" spans="1:7" ht="12.75">
      <c r="A9" s="23">
        <v>40633</v>
      </c>
      <c r="B9" s="36"/>
      <c r="C9" s="36"/>
      <c r="D9" s="36">
        <v>0.05</v>
      </c>
      <c r="E9" s="36"/>
      <c r="F9" s="36"/>
      <c r="G9" s="36"/>
    </row>
    <row r="10" spans="1:7" ht="12.75">
      <c r="A10" s="23">
        <v>40724</v>
      </c>
      <c r="B10" s="36"/>
      <c r="C10" s="36">
        <v>1</v>
      </c>
      <c r="D10" s="36">
        <v>0.05</v>
      </c>
      <c r="E10" s="36"/>
      <c r="F10" s="36"/>
      <c r="G10" s="36"/>
    </row>
    <row r="11" spans="1:7" ht="12.75">
      <c r="A11" s="23">
        <v>40755</v>
      </c>
      <c r="B11" s="36"/>
      <c r="C11" s="36"/>
      <c r="D11" s="36"/>
      <c r="E11" s="36">
        <v>0.06</v>
      </c>
      <c r="F11" s="36"/>
      <c r="G11" s="36"/>
    </row>
    <row r="12" spans="1:7" ht="12.75">
      <c r="A12" s="23">
        <v>40816</v>
      </c>
      <c r="B12" s="36"/>
      <c r="C12" s="36"/>
      <c r="D12" s="36">
        <v>0.05</v>
      </c>
      <c r="E12" s="36"/>
      <c r="F12" s="36"/>
      <c r="G12" s="36"/>
    </row>
    <row r="13" spans="1:7" ht="12.75">
      <c r="A13" s="23">
        <v>40847</v>
      </c>
      <c r="B13" s="36">
        <v>0.0435</v>
      </c>
      <c r="C13" s="36"/>
      <c r="D13" s="36"/>
      <c r="E13" s="36"/>
      <c r="F13" s="36">
        <f>Landsbanki!D67</f>
        <v>0.08929906542056074</v>
      </c>
      <c r="G13" s="36">
        <f>Landsbanki!D66</f>
        <v>0.22169373549883986</v>
      </c>
    </row>
    <row r="14" spans="1:7" ht="12.75">
      <c r="A14" s="23">
        <v>40908</v>
      </c>
      <c r="B14" s="36"/>
      <c r="C14" s="36"/>
      <c r="D14" s="36">
        <v>0.05</v>
      </c>
      <c r="E14" s="36"/>
      <c r="F14" s="36"/>
      <c r="G14" s="36"/>
    </row>
    <row r="15" spans="1:7" ht="12.75">
      <c r="A15" s="23">
        <v>40939</v>
      </c>
      <c r="B15" s="36"/>
      <c r="C15" s="36"/>
      <c r="D15" s="36"/>
      <c r="E15" s="36">
        <v>0.06</v>
      </c>
      <c r="F15" s="36"/>
      <c r="G15" s="36"/>
    </row>
    <row r="16" spans="1:7" ht="12.75">
      <c r="A16" s="23">
        <v>40999</v>
      </c>
      <c r="B16" s="36"/>
      <c r="C16" s="36"/>
      <c r="D16" s="36">
        <v>0.05</v>
      </c>
      <c r="E16" s="36"/>
      <c r="F16" s="36"/>
      <c r="G16" s="36"/>
    </row>
    <row r="17" spans="1:7" ht="12.75">
      <c r="A17" s="23">
        <v>41090</v>
      </c>
      <c r="B17" s="36"/>
      <c r="C17" s="36"/>
      <c r="D17" s="36">
        <v>0.05</v>
      </c>
      <c r="E17" s="36"/>
      <c r="F17" s="36"/>
      <c r="G17" s="36"/>
    </row>
    <row r="18" spans="1:7" ht="12.75">
      <c r="A18" s="23">
        <v>41121</v>
      </c>
      <c r="B18" s="36"/>
      <c r="C18" s="36"/>
      <c r="D18" s="36"/>
      <c r="E18" s="36">
        <v>0.06</v>
      </c>
      <c r="F18" s="36"/>
      <c r="G18" s="36"/>
    </row>
    <row r="19" spans="1:7" ht="12.75">
      <c r="A19" s="23">
        <v>41182</v>
      </c>
      <c r="B19" s="36"/>
      <c r="C19" s="36"/>
      <c r="D19" s="36">
        <v>0.05</v>
      </c>
      <c r="E19" s="36"/>
      <c r="F19" s="36"/>
      <c r="G19" s="36"/>
    </row>
    <row r="20" spans="1:7" ht="12.75">
      <c r="A20" s="23">
        <v>41213</v>
      </c>
      <c r="B20" s="36">
        <v>0.0435</v>
      </c>
      <c r="C20" s="36"/>
      <c r="D20" s="36"/>
      <c r="E20" s="36"/>
      <c r="F20" s="36">
        <f>Landsbanki!E67</f>
        <v>0.03571962616822429</v>
      </c>
      <c r="G20" s="36">
        <f>Landsbanki!E66</f>
        <v>0.08867749419953595</v>
      </c>
    </row>
    <row r="21" spans="1:7" ht="12.75">
      <c r="A21" s="23">
        <v>41305</v>
      </c>
      <c r="B21" s="36"/>
      <c r="C21" s="36"/>
      <c r="D21" s="36"/>
      <c r="E21" s="36">
        <v>0.06</v>
      </c>
      <c r="F21" s="36"/>
      <c r="G21" s="36"/>
    </row>
    <row r="22" spans="1:7" ht="12.75">
      <c r="A22" s="23">
        <v>41486</v>
      </c>
      <c r="B22" s="36"/>
      <c r="C22" s="36"/>
      <c r="D22" s="36"/>
      <c r="E22" s="36"/>
      <c r="F22" s="36"/>
      <c r="G22" s="36"/>
    </row>
    <row r="23" spans="1:7" ht="12.75">
      <c r="A23" s="23">
        <v>41578</v>
      </c>
      <c r="B23" s="36">
        <v>0.0435</v>
      </c>
      <c r="C23" s="36"/>
      <c r="D23" s="36"/>
      <c r="E23" s="36"/>
      <c r="F23" s="36">
        <f>Landsbanki!F67</f>
        <v>0.03571962616822429</v>
      </c>
      <c r="G23" s="36">
        <f>Landsbanki!F66</f>
        <v>0.08867749419953595</v>
      </c>
    </row>
    <row r="24" spans="1:7" ht="12.75">
      <c r="A24" s="23">
        <v>41943</v>
      </c>
      <c r="B24" s="36">
        <v>0.0435</v>
      </c>
      <c r="C24" s="36"/>
      <c r="D24" s="36"/>
      <c r="E24" s="36"/>
      <c r="F24" s="36">
        <f>Landsbanki!G67</f>
        <v>0.03571962616822429</v>
      </c>
      <c r="G24" s="36">
        <f>Landsbanki!G66</f>
        <v>0.08867749419953595</v>
      </c>
    </row>
    <row r="25" spans="1:7" ht="12.75">
      <c r="A25" s="23">
        <v>42308</v>
      </c>
      <c r="B25" s="36">
        <v>0.116</v>
      </c>
      <c r="C25" s="36"/>
      <c r="D25" s="36"/>
      <c r="E25" s="36"/>
      <c r="F25" s="36">
        <f>Landsbanki!H67</f>
        <v>0.03571962616822429</v>
      </c>
      <c r="G25" s="36">
        <f>Landsbanki!H66</f>
        <v>0.08867749419953595</v>
      </c>
    </row>
    <row r="26" spans="1:7" ht="12.75">
      <c r="A26" s="23">
        <v>42674</v>
      </c>
      <c r="B26" s="36"/>
      <c r="C26" s="36"/>
      <c r="D26" s="36"/>
      <c r="E26" s="36"/>
      <c r="F26" s="36">
        <f>Landsbanki!I67</f>
        <v>0.03571962616822429</v>
      </c>
      <c r="G26" s="36">
        <f>Landsbanki!I66</f>
        <v>0.08867749419953595</v>
      </c>
    </row>
    <row r="27" spans="1:7" ht="12.75">
      <c r="A27" s="23">
        <v>43039</v>
      </c>
      <c r="B27" s="36"/>
      <c r="C27" s="36"/>
      <c r="D27" s="36"/>
      <c r="E27" s="36"/>
      <c r="F27" s="36">
        <f>Landsbanki!J67</f>
        <v>0.03571962616822429</v>
      </c>
      <c r="G27" s="36">
        <f>Landsbanki!J66</f>
        <v>0.08867749419953595</v>
      </c>
    </row>
    <row r="28" spans="1:7" ht="12.75">
      <c r="A28" s="23">
        <v>43404</v>
      </c>
      <c r="B28" s="36"/>
      <c r="C28" s="36"/>
      <c r="D28" s="36"/>
      <c r="E28" s="36"/>
      <c r="F28" s="36">
        <f>Landsbanki!K67</f>
        <v>0.07843984389335955</v>
      </c>
      <c r="G28" s="36">
        <f>Landsbanki!K66</f>
        <v>0.19473464725265593</v>
      </c>
    </row>
    <row r="29" spans="1:7" ht="12.75">
      <c r="A29" s="23"/>
      <c r="B29" s="36"/>
      <c r="C29" s="36"/>
      <c r="D29" s="36"/>
      <c r="E29" s="36"/>
      <c r="F29" s="36"/>
      <c r="G29" s="36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PageLayoutView="0" workbookViewId="0" topLeftCell="A1">
      <selection activeCell="A1" sqref="A1"/>
    </sheetView>
  </sheetViews>
  <sheetFormatPr defaultColWidth="10.66015625" defaultRowHeight="12.75"/>
  <cols>
    <col min="1" max="1" width="27" style="38" customWidth="1"/>
    <col min="2" max="2" width="13.5" style="38" customWidth="1"/>
    <col min="3" max="3" width="10.66015625" style="38" customWidth="1"/>
    <col min="4" max="4" width="11" style="38" bestFit="1" customWidth="1"/>
    <col min="5" max="5" width="12.33203125" style="38" customWidth="1"/>
    <col min="6" max="7" width="11" style="38" bestFit="1" customWidth="1"/>
    <col min="8" max="16384" width="10.66015625" style="38" customWidth="1"/>
  </cols>
  <sheetData>
    <row r="1" ht="12.75">
      <c r="A1" s="37" t="s">
        <v>45</v>
      </c>
    </row>
    <row r="3" spans="1:11" ht="12.75">
      <c r="A3" s="37" t="s">
        <v>46</v>
      </c>
      <c r="E3" s="39" t="s">
        <v>47</v>
      </c>
      <c r="F3" s="39" t="s">
        <v>48</v>
      </c>
      <c r="G3" s="39" t="s">
        <v>49</v>
      </c>
      <c r="H3" s="39" t="s">
        <v>50</v>
      </c>
      <c r="I3" s="39" t="s">
        <v>51</v>
      </c>
      <c r="J3" s="39" t="s">
        <v>52</v>
      </c>
      <c r="K3" s="39" t="s">
        <v>10</v>
      </c>
    </row>
    <row r="4" ht="12.75">
      <c r="A4" s="38" t="s">
        <v>53</v>
      </c>
    </row>
    <row r="5" spans="1:11" ht="12.75">
      <c r="A5" s="38" t="s">
        <v>54</v>
      </c>
      <c r="E5" s="38">
        <v>14</v>
      </c>
      <c r="F5" s="38">
        <v>22</v>
      </c>
      <c r="G5" s="38">
        <v>61</v>
      </c>
      <c r="H5" s="38">
        <v>91</v>
      </c>
      <c r="I5" s="38">
        <v>3</v>
      </c>
      <c r="J5" s="38">
        <v>3</v>
      </c>
      <c r="K5" s="38">
        <f>SUM(E5:J5)</f>
        <v>194</v>
      </c>
    </row>
    <row r="6" spans="1:11" ht="12.75">
      <c r="A6" s="38" t="s">
        <v>55</v>
      </c>
      <c r="E6" s="38">
        <v>34</v>
      </c>
      <c r="F6" s="38">
        <v>81</v>
      </c>
      <c r="G6" s="38">
        <v>144</v>
      </c>
      <c r="H6" s="38">
        <v>162</v>
      </c>
      <c r="I6" s="38">
        <v>31</v>
      </c>
      <c r="J6" s="38">
        <v>32</v>
      </c>
      <c r="K6" s="38">
        <f>SUM(E6:J6)</f>
        <v>484</v>
      </c>
    </row>
    <row r="7" spans="1:11" ht="12.75">
      <c r="A7" s="38" t="s">
        <v>56</v>
      </c>
      <c r="E7" s="38">
        <v>8</v>
      </c>
      <c r="F7" s="38">
        <v>3</v>
      </c>
      <c r="G7" s="38">
        <v>16</v>
      </c>
      <c r="H7" s="38">
        <v>57</v>
      </c>
      <c r="K7" s="38">
        <f>SUM(E7:J7)</f>
        <v>84</v>
      </c>
    </row>
    <row r="8" spans="1:11" ht="12.75">
      <c r="A8" s="38" t="s">
        <v>57</v>
      </c>
      <c r="E8" s="38">
        <v>12</v>
      </c>
      <c r="F8" s="38">
        <v>1</v>
      </c>
      <c r="G8" s="38">
        <v>13</v>
      </c>
      <c r="H8" s="38">
        <v>1</v>
      </c>
      <c r="K8" s="38">
        <f>SUM(E8:J8)</f>
        <v>27</v>
      </c>
    </row>
    <row r="9" spans="1:11" ht="12.75">
      <c r="A9" s="38" t="s">
        <v>58</v>
      </c>
      <c r="E9" s="38">
        <v>16</v>
      </c>
      <c r="G9" s="38">
        <v>18</v>
      </c>
      <c r="H9" s="38">
        <v>5</v>
      </c>
      <c r="K9" s="38">
        <f>SUM(E9:J9)</f>
        <v>39</v>
      </c>
    </row>
    <row r="10" spans="1:11" ht="12.75">
      <c r="A10" s="38" t="s">
        <v>59</v>
      </c>
      <c r="E10" s="40">
        <f aca="true" t="shared" si="0" ref="E10:K10">SUM(E5:E9)</f>
        <v>84</v>
      </c>
      <c r="F10" s="40">
        <f t="shared" si="0"/>
        <v>107</v>
      </c>
      <c r="G10" s="40">
        <f t="shared" si="0"/>
        <v>252</v>
      </c>
      <c r="H10" s="40">
        <f t="shared" si="0"/>
        <v>316</v>
      </c>
      <c r="I10" s="40">
        <f t="shared" si="0"/>
        <v>34</v>
      </c>
      <c r="J10" s="40">
        <f t="shared" si="0"/>
        <v>35</v>
      </c>
      <c r="K10" s="40">
        <f t="shared" si="0"/>
        <v>828</v>
      </c>
    </row>
    <row r="11" spans="1:11" ht="12.75">
      <c r="A11" s="38" t="s">
        <v>60</v>
      </c>
      <c r="E11" s="41">
        <v>28</v>
      </c>
      <c r="K11" s="38">
        <f>SUM(E11:J11)</f>
        <v>28</v>
      </c>
    </row>
    <row r="12" spans="1:11" ht="12.75">
      <c r="A12" s="38" t="s">
        <v>61</v>
      </c>
      <c r="F12" s="38">
        <v>95</v>
      </c>
      <c r="G12" s="38">
        <v>163</v>
      </c>
      <c r="H12" s="38">
        <v>58</v>
      </c>
      <c r="K12" s="38">
        <f>SUM(E12:J12)</f>
        <v>316</v>
      </c>
    </row>
    <row r="13" spans="1:11" ht="13.5" thickBot="1">
      <c r="A13" s="38" t="s">
        <v>62</v>
      </c>
      <c r="E13" s="42">
        <f aca="true" t="shared" si="1" ref="E13:K13">SUM(E10:E12)</f>
        <v>112</v>
      </c>
      <c r="F13" s="42">
        <f t="shared" si="1"/>
        <v>202</v>
      </c>
      <c r="G13" s="42">
        <f t="shared" si="1"/>
        <v>415</v>
      </c>
      <c r="H13" s="42">
        <f t="shared" si="1"/>
        <v>374</v>
      </c>
      <c r="I13" s="42">
        <f t="shared" si="1"/>
        <v>34</v>
      </c>
      <c r="J13" s="42">
        <f t="shared" si="1"/>
        <v>35</v>
      </c>
      <c r="K13" s="42">
        <f t="shared" si="1"/>
        <v>1172</v>
      </c>
    </row>
    <row r="14" ht="13.5" thickTop="1"/>
    <row r="16" ht="12.75">
      <c r="A16" s="37" t="s">
        <v>63</v>
      </c>
    </row>
    <row r="17" spans="1:5" ht="12.75">
      <c r="A17" s="38" t="s">
        <v>64</v>
      </c>
      <c r="E17" s="38">
        <v>260</v>
      </c>
    </row>
    <row r="18" spans="1:5" ht="12.75">
      <c r="A18" s="38" t="s">
        <v>65</v>
      </c>
      <c r="E18" s="38">
        <v>304</v>
      </c>
    </row>
    <row r="19" spans="1:5" ht="12.75">
      <c r="A19" s="38" t="s">
        <v>66</v>
      </c>
      <c r="E19" s="38">
        <f>(E17+E18)/2</f>
        <v>282</v>
      </c>
    </row>
    <row r="20" spans="1:5" ht="12.75">
      <c r="A20" s="38" t="s">
        <v>67</v>
      </c>
      <c r="E20" s="38">
        <v>12</v>
      </c>
    </row>
    <row r="21" spans="1:5" ht="12.75">
      <c r="A21" s="38" t="s">
        <v>68</v>
      </c>
      <c r="E21" s="43">
        <f>E20/E19*12/15</f>
        <v>0.03404255319148936</v>
      </c>
    </row>
    <row r="23" ht="12.75">
      <c r="D23" s="38" t="s">
        <v>69</v>
      </c>
    </row>
    <row r="24" spans="1:6" ht="12.75">
      <c r="A24" s="37" t="s">
        <v>70</v>
      </c>
      <c r="D24" s="44">
        <v>39721</v>
      </c>
      <c r="E24" s="44">
        <v>40178</v>
      </c>
      <c r="F24" s="44"/>
    </row>
    <row r="25" spans="1:6" ht="12.75">
      <c r="A25" s="38" t="s">
        <v>71</v>
      </c>
      <c r="B25" s="45"/>
      <c r="D25" s="38">
        <v>145.5</v>
      </c>
      <c r="E25" s="38">
        <v>179.7</v>
      </c>
      <c r="F25" s="46"/>
    </row>
    <row r="26" spans="1:6" ht="12.75">
      <c r="A26" s="38" t="s">
        <v>72</v>
      </c>
      <c r="B26" s="45"/>
      <c r="D26" s="38">
        <v>101.4</v>
      </c>
      <c r="E26" s="38">
        <v>124.9</v>
      </c>
      <c r="F26" s="46"/>
    </row>
    <row r="27" spans="1:6" ht="12.75">
      <c r="A27" s="38" t="s">
        <v>73</v>
      </c>
      <c r="B27" s="45"/>
      <c r="D27" s="38">
        <v>182.9</v>
      </c>
      <c r="E27" s="38">
        <v>201.1</v>
      </c>
      <c r="F27" s="46"/>
    </row>
    <row r="29" ht="12.75">
      <c r="A29" s="38" t="s">
        <v>74</v>
      </c>
    </row>
    <row r="30" spans="1:4" ht="12.75">
      <c r="A30" s="38" t="s">
        <v>75</v>
      </c>
      <c r="B30" s="38" t="s">
        <v>76</v>
      </c>
      <c r="D30" s="38">
        <v>0.9</v>
      </c>
    </row>
    <row r="31" spans="2:4" ht="12.75">
      <c r="B31" s="38" t="s">
        <v>77</v>
      </c>
      <c r="D31" s="38">
        <v>0.7</v>
      </c>
    </row>
    <row r="32" spans="2:4" ht="12.75">
      <c r="B32" s="38" t="s">
        <v>78</v>
      </c>
      <c r="D32" s="38">
        <v>0.3</v>
      </c>
    </row>
    <row r="34" spans="1:6" ht="12.75">
      <c r="A34" s="38" t="s">
        <v>79</v>
      </c>
      <c r="D34" s="47">
        <f>$D$30*D25+$D$31*D26+$D$32*D27</f>
        <v>256.8</v>
      </c>
      <c r="E34" s="47">
        <f>$D$30*E25+$D$31*E26+$D$32*E27</f>
        <v>309.48999999999995</v>
      </c>
      <c r="F34" s="47"/>
    </row>
    <row r="35" spans="1:5" ht="12.75">
      <c r="A35" s="38" t="s">
        <v>80</v>
      </c>
      <c r="E35" s="48">
        <f>D30*E25/E27+D31*E26/E27+D32</f>
        <v>1.538985579313774</v>
      </c>
    </row>
    <row r="36" spans="1:16" ht="12.75">
      <c r="A36" s="49"/>
      <c r="B36" s="49"/>
      <c r="C36" s="49"/>
      <c r="D36" s="49"/>
      <c r="E36" s="49"/>
      <c r="F36" s="50"/>
      <c r="G36" s="49"/>
      <c r="H36" s="51"/>
      <c r="I36" s="49"/>
      <c r="J36" s="49"/>
      <c r="K36" s="49"/>
      <c r="L36" s="49"/>
      <c r="M36" s="49"/>
      <c r="N36" s="49"/>
      <c r="O36" s="49"/>
      <c r="P36" s="49"/>
    </row>
    <row r="37" spans="1:11" ht="12.75">
      <c r="A37" s="52" t="s">
        <v>81</v>
      </c>
      <c r="B37" s="49"/>
      <c r="C37" s="52">
        <v>2010</v>
      </c>
      <c r="D37" s="52">
        <f aca="true" t="shared" si="2" ref="D37:K37">C37+1</f>
        <v>2011</v>
      </c>
      <c r="E37" s="52">
        <f t="shared" si="2"/>
        <v>2012</v>
      </c>
      <c r="F37" s="52">
        <f t="shared" si="2"/>
        <v>2013</v>
      </c>
      <c r="G37" s="52">
        <f t="shared" si="2"/>
        <v>2014</v>
      </c>
      <c r="H37" s="52">
        <f t="shared" si="2"/>
        <v>2015</v>
      </c>
      <c r="I37" s="52">
        <f t="shared" si="2"/>
        <v>2016</v>
      </c>
      <c r="J37" s="52">
        <f t="shared" si="2"/>
        <v>2017</v>
      </c>
      <c r="K37" s="52">
        <f t="shared" si="2"/>
        <v>2018</v>
      </c>
    </row>
    <row r="38" spans="1:16" ht="12.75">
      <c r="A38" s="49" t="s">
        <v>82</v>
      </c>
      <c r="B38" s="49"/>
      <c r="C38" s="53">
        <f>$E$35</f>
        <v>1.538985579313774</v>
      </c>
      <c r="D38" s="53">
        <f>$E$35</f>
        <v>1.538985579313774</v>
      </c>
      <c r="E38" s="53">
        <f>$E$35</f>
        <v>1.538985579313774</v>
      </c>
      <c r="F38" s="53">
        <f>$E$35</f>
        <v>1.538985579313774</v>
      </c>
      <c r="G38" s="53">
        <f>F38-4/20*$E$35</f>
        <v>1.2311884634510193</v>
      </c>
      <c r="H38" s="53">
        <f>G38-4/20*$E$35</f>
        <v>0.9233913475882645</v>
      </c>
      <c r="I38" s="53">
        <f>H38-4/20*$E$35</f>
        <v>0.6155942317255096</v>
      </c>
      <c r="J38" s="53">
        <f>I38-4/20*$E$35</f>
        <v>0.3077971158627548</v>
      </c>
      <c r="K38" s="53">
        <f>J38-4/20*$E$35</f>
        <v>0</v>
      </c>
      <c r="L38" s="54"/>
      <c r="M38" s="54"/>
      <c r="N38" s="54"/>
      <c r="O38" s="54"/>
      <c r="P38" s="54"/>
    </row>
    <row r="39" spans="1:16" ht="12.75">
      <c r="A39" s="49" t="s">
        <v>83</v>
      </c>
      <c r="B39" s="49"/>
      <c r="C39" s="49"/>
      <c r="D39" s="49"/>
      <c r="E39" s="53">
        <f>28/260*E38</f>
        <v>0.16573690854148337</v>
      </c>
      <c r="F39" s="53">
        <f>$E$39</f>
        <v>0.16573690854148337</v>
      </c>
      <c r="G39" s="53">
        <f>F39-4/20*$E$39</f>
        <v>0.1325895268331867</v>
      </c>
      <c r="H39" s="53">
        <f>G39-4/20*$E$39</f>
        <v>0.09944214512489002</v>
      </c>
      <c r="I39" s="53">
        <f>H39-4/20*$E$39</f>
        <v>0.06629476341659335</v>
      </c>
      <c r="J39" s="53">
        <f>I39-4/20*$E$39</f>
        <v>0.033147381708296675</v>
      </c>
      <c r="K39" s="53">
        <f>J39-4/20*$E$39</f>
        <v>0</v>
      </c>
      <c r="L39" s="54"/>
      <c r="M39" s="54"/>
      <c r="N39" s="54"/>
      <c r="O39" s="54"/>
      <c r="P39" s="54"/>
    </row>
    <row r="40" ht="12.75">
      <c r="A40" s="55" t="s">
        <v>84</v>
      </c>
    </row>
    <row r="41" spans="1:11" ht="12.75">
      <c r="A41" s="38" t="s">
        <v>85</v>
      </c>
      <c r="C41" s="48">
        <f>C38*$E$21</f>
        <v>0.052390998444724224</v>
      </c>
      <c r="D41" s="48">
        <f>(C38+D38)*$E$21/2</f>
        <v>0.052390998444724224</v>
      </c>
      <c r="E41" s="48">
        <f>(D38+E38)*$E$21/2</f>
        <v>0.052390998444724224</v>
      </c>
      <c r="F41" s="48">
        <f aca="true" t="shared" si="3" ref="F41:K41">(E38+F38+E39+F39)*$E$21/2</f>
        <v>0.05803310596954068</v>
      </c>
      <c r="G41" s="48">
        <f t="shared" si="3"/>
        <v>0.05222979537258661</v>
      </c>
      <c r="H41" s="48">
        <f t="shared" si="3"/>
        <v>0.04062317417867848</v>
      </c>
      <c r="I41" s="48">
        <f t="shared" si="3"/>
        <v>0.029016552984770343</v>
      </c>
      <c r="J41" s="48">
        <f t="shared" si="3"/>
        <v>0.017409931790862206</v>
      </c>
      <c r="K41" s="48">
        <f t="shared" si="3"/>
        <v>0.0058033105969540685</v>
      </c>
    </row>
    <row r="42" spans="1:11" ht="12.75">
      <c r="A42" s="38" t="s">
        <v>86</v>
      </c>
      <c r="G42" s="48">
        <f>F38+F39-G38-G39</f>
        <v>0.3409444975710514</v>
      </c>
      <c r="H42" s="48">
        <f>G38+G39-H38-H39</f>
        <v>0.3409444975710515</v>
      </c>
      <c r="I42" s="48">
        <f>H38+H39-I38-I39</f>
        <v>0.3409444975710516</v>
      </c>
      <c r="J42" s="48">
        <f>I38+I39-J38-J39</f>
        <v>0.3409444975710515</v>
      </c>
      <c r="K42" s="48">
        <f>J38+J39-K38-K39</f>
        <v>0.3409444975710515</v>
      </c>
    </row>
    <row r="43" spans="1:11" ht="13.5" thickBot="1">
      <c r="A43" s="38" t="s">
        <v>10</v>
      </c>
      <c r="C43" s="56">
        <f aca="true" t="shared" si="4" ref="C43:K43">SUM(C41:C42)</f>
        <v>0.052390998444724224</v>
      </c>
      <c r="D43" s="56">
        <f t="shared" si="4"/>
        <v>0.052390998444724224</v>
      </c>
      <c r="E43" s="56">
        <f t="shared" si="4"/>
        <v>0.052390998444724224</v>
      </c>
      <c r="F43" s="56">
        <f t="shared" si="4"/>
        <v>0.05803310596954068</v>
      </c>
      <c r="G43" s="56">
        <f t="shared" si="4"/>
        <v>0.393174292943638</v>
      </c>
      <c r="H43" s="56">
        <f t="shared" si="4"/>
        <v>0.38156767174973</v>
      </c>
      <c r="I43" s="56">
        <f t="shared" si="4"/>
        <v>0.36996105055582196</v>
      </c>
      <c r="J43" s="56">
        <f t="shared" si="4"/>
        <v>0.3583544293619137</v>
      </c>
      <c r="K43" s="56">
        <f t="shared" si="4"/>
        <v>0.34674780816800554</v>
      </c>
    </row>
    <row r="44" ht="13.5" thickTop="1"/>
    <row r="45" spans="1:2" ht="12.75">
      <c r="A45" s="37" t="s">
        <v>58</v>
      </c>
      <c r="B45" s="37">
        <v>2009</v>
      </c>
    </row>
    <row r="46" spans="1:7" ht="12.75">
      <c r="A46" s="38" t="s">
        <v>54</v>
      </c>
      <c r="B46" s="38">
        <v>194</v>
      </c>
      <c r="C46" s="38" t="s">
        <v>87</v>
      </c>
      <c r="D46" s="38" t="s">
        <v>88</v>
      </c>
      <c r="F46" s="57">
        <f>B46/$E$27</f>
        <v>0.9646941819990055</v>
      </c>
      <c r="G46" s="38" t="s">
        <v>89</v>
      </c>
    </row>
    <row r="47" spans="1:7" ht="12.75">
      <c r="A47" s="38" t="s">
        <v>90</v>
      </c>
      <c r="B47" s="38">
        <f>828-194</f>
        <v>634</v>
      </c>
      <c r="C47" s="38" t="s">
        <v>87</v>
      </c>
      <c r="D47" s="38" t="s">
        <v>88</v>
      </c>
      <c r="F47" s="57">
        <f>B47/$E$27</f>
        <v>3.1526603679761314</v>
      </c>
      <c r="G47" s="38" t="s">
        <v>89</v>
      </c>
    </row>
    <row r="48" spans="1:2" ht="13.5" thickBot="1">
      <c r="A48" s="38" t="s">
        <v>10</v>
      </c>
      <c r="B48" s="42">
        <f>SUM(B46:B47)</f>
        <v>828</v>
      </c>
    </row>
    <row r="49" ht="13.5" thickTop="1"/>
    <row r="50" spans="1:12" ht="12.75">
      <c r="A50" s="37" t="s">
        <v>91</v>
      </c>
      <c r="C50" s="52">
        <v>2010</v>
      </c>
      <c r="D50" s="52">
        <f aca="true" t="shared" si="5" ref="D50:K50">C50+1</f>
        <v>2011</v>
      </c>
      <c r="E50" s="52">
        <f t="shared" si="5"/>
        <v>2012</v>
      </c>
      <c r="F50" s="52">
        <f t="shared" si="5"/>
        <v>2013</v>
      </c>
      <c r="G50" s="52">
        <f t="shared" si="5"/>
        <v>2014</v>
      </c>
      <c r="H50" s="52">
        <f t="shared" si="5"/>
        <v>2015</v>
      </c>
      <c r="I50" s="52">
        <f t="shared" si="5"/>
        <v>2016</v>
      </c>
      <c r="J50" s="52">
        <f t="shared" si="5"/>
        <v>2017</v>
      </c>
      <c r="K50" s="52">
        <f t="shared" si="5"/>
        <v>2018</v>
      </c>
      <c r="L50" s="50" t="s">
        <v>10</v>
      </c>
    </row>
    <row r="51" spans="1:11" ht="12.75">
      <c r="A51" s="38" t="s">
        <v>54</v>
      </c>
      <c r="C51" s="48">
        <f>F46+$B$52*F47</f>
        <v>1.5952262555942318</v>
      </c>
      <c r="D51" s="48">
        <f aca="true" t="shared" si="6" ref="D51:K51">C58+C52*$B$52</f>
        <v>2.1932164584148883</v>
      </c>
      <c r="E51" s="48">
        <f t="shared" si="6"/>
        <v>1.1903215294603087</v>
      </c>
      <c r="F51" s="48">
        <f t="shared" si="6"/>
        <v>1.007654140524985</v>
      </c>
      <c r="G51" s="48">
        <f t="shared" si="6"/>
        <v>0.7519980202177714</v>
      </c>
      <c r="H51" s="48">
        <f t="shared" si="6"/>
        <v>0.7747749013095734</v>
      </c>
      <c r="I51" s="48">
        <f t="shared" si="6"/>
        <v>0.7394833906558123</v>
      </c>
      <c r="J51" s="48">
        <f t="shared" si="6"/>
        <v>0.657688860140195</v>
      </c>
      <c r="K51" s="48">
        <f t="shared" si="6"/>
        <v>0.5358354593410389</v>
      </c>
    </row>
    <row r="52" spans="1:11" ht="12.75">
      <c r="A52" s="38" t="s">
        <v>90</v>
      </c>
      <c r="B52" s="45">
        <v>0.2</v>
      </c>
      <c r="C52" s="48">
        <f>F47*(1-$B$52)</f>
        <v>2.5221282943809054</v>
      </c>
      <c r="D52" s="48">
        <f aca="true" t="shared" si="7" ref="D52:K52">C52*(1-$B$52)</f>
        <v>2.0177026355047243</v>
      </c>
      <c r="E52" s="48">
        <f t="shared" si="7"/>
        <v>1.6141621084037796</v>
      </c>
      <c r="F52" s="48">
        <f t="shared" si="7"/>
        <v>1.2913296867230237</v>
      </c>
      <c r="G52" s="48">
        <f t="shared" si="7"/>
        <v>1.033063749378419</v>
      </c>
      <c r="H52" s="48">
        <f t="shared" si="7"/>
        <v>0.8264509995027352</v>
      </c>
      <c r="I52" s="48">
        <f t="shared" si="7"/>
        <v>0.6611607996021882</v>
      </c>
      <c r="J52" s="48">
        <f t="shared" si="7"/>
        <v>0.5289286396817506</v>
      </c>
      <c r="K52" s="48">
        <f t="shared" si="7"/>
        <v>0.42314291174540053</v>
      </c>
    </row>
    <row r="53" spans="1:11" ht="12.75">
      <c r="A53" s="38" t="s">
        <v>92</v>
      </c>
      <c r="B53" s="45">
        <v>0.01</v>
      </c>
      <c r="C53" s="48">
        <f>(F46+F47)*$B$53</f>
        <v>0.04117354549975137</v>
      </c>
      <c r="D53" s="48">
        <f aca="true" t="shared" si="8" ref="D53:K53">(C51+C52)*$B$53</f>
        <v>0.04117354549975137</v>
      </c>
      <c r="E53" s="48">
        <f t="shared" si="8"/>
        <v>0.04210919093919612</v>
      </c>
      <c r="F53" s="48">
        <f t="shared" si="8"/>
        <v>0.028044836378640883</v>
      </c>
      <c r="G53" s="48">
        <f t="shared" si="8"/>
        <v>0.022989838272480086</v>
      </c>
      <c r="H53" s="48">
        <f t="shared" si="8"/>
        <v>0.017850617695961905</v>
      </c>
      <c r="I53" s="48">
        <f t="shared" si="8"/>
        <v>0.016012259008123086</v>
      </c>
      <c r="J53" s="48">
        <f t="shared" si="8"/>
        <v>0.014006441902580005</v>
      </c>
      <c r="K53" s="48">
        <f t="shared" si="8"/>
        <v>0.011866174998219457</v>
      </c>
    </row>
    <row r="54" spans="1:11" ht="12.75">
      <c r="A54" s="38" t="s">
        <v>93</v>
      </c>
      <c r="C54" s="48">
        <f aca="true" t="shared" si="9" ref="C54:K54">C43</f>
        <v>0.052390998444724224</v>
      </c>
      <c r="D54" s="48">
        <f t="shared" si="9"/>
        <v>0.052390998444724224</v>
      </c>
      <c r="E54" s="48">
        <f t="shared" si="9"/>
        <v>0.052390998444724224</v>
      </c>
      <c r="F54" s="48">
        <f t="shared" si="9"/>
        <v>0.05803310596954068</v>
      </c>
      <c r="G54" s="48">
        <f t="shared" si="9"/>
        <v>0.393174292943638</v>
      </c>
      <c r="H54" s="48">
        <f t="shared" si="9"/>
        <v>0.38156767174973</v>
      </c>
      <c r="I54" s="48">
        <f t="shared" si="9"/>
        <v>0.36996105055582196</v>
      </c>
      <c r="J54" s="48">
        <f t="shared" si="9"/>
        <v>0.3583544293619137</v>
      </c>
      <c r="K54" s="48">
        <f t="shared" si="9"/>
        <v>0.34674780816800554</v>
      </c>
    </row>
    <row r="56" spans="1:11" ht="12.75">
      <c r="A56" s="38" t="s">
        <v>94</v>
      </c>
      <c r="C56" s="48">
        <f aca="true" t="shared" si="10" ref="C56:K56">C51+C53+C54</f>
        <v>1.6887907995387073</v>
      </c>
      <c r="D56" s="48">
        <f t="shared" si="10"/>
        <v>2.2867810023593638</v>
      </c>
      <c r="E56" s="48">
        <f t="shared" si="10"/>
        <v>1.284821718844229</v>
      </c>
      <c r="F56" s="48">
        <f t="shared" si="10"/>
        <v>1.0937320828731667</v>
      </c>
      <c r="G56" s="48">
        <f t="shared" si="10"/>
        <v>1.1681621514338896</v>
      </c>
      <c r="H56" s="48">
        <f t="shared" si="10"/>
        <v>1.1741931907552652</v>
      </c>
      <c r="I56" s="48">
        <f t="shared" si="10"/>
        <v>1.1254567002197573</v>
      </c>
      <c r="J56" s="48">
        <f t="shared" si="10"/>
        <v>1.0300497314046888</v>
      </c>
      <c r="K56" s="48">
        <f t="shared" si="10"/>
        <v>0.8944494425072639</v>
      </c>
    </row>
    <row r="57" spans="1:12" ht="12.75">
      <c r="A57" s="38" t="s">
        <v>95</v>
      </c>
      <c r="D57" s="38">
        <v>1.5</v>
      </c>
      <c r="E57" s="38">
        <v>0.6</v>
      </c>
      <c r="F57" s="38">
        <v>0.6</v>
      </c>
      <c r="G57" s="38">
        <v>0.6</v>
      </c>
      <c r="H57" s="38">
        <v>0.6</v>
      </c>
      <c r="I57" s="38">
        <v>0.6</v>
      </c>
      <c r="J57" s="38">
        <v>0.6</v>
      </c>
      <c r="K57" s="48">
        <f>K56+K52</f>
        <v>1.3175923542526644</v>
      </c>
      <c r="L57" s="48">
        <f>SUM(D57:K57)</f>
        <v>6.417592354252664</v>
      </c>
    </row>
    <row r="58" spans="1:11" ht="12.75">
      <c r="A58" s="38" t="s">
        <v>96</v>
      </c>
      <c r="C58" s="48">
        <f aca="true" t="shared" si="11" ref="C58:K58">C56-C57</f>
        <v>1.6887907995387073</v>
      </c>
      <c r="D58" s="48">
        <f t="shared" si="11"/>
        <v>0.7867810023593638</v>
      </c>
      <c r="E58" s="48">
        <f t="shared" si="11"/>
        <v>0.684821718844229</v>
      </c>
      <c r="F58" s="48">
        <f t="shared" si="11"/>
        <v>0.4937320828731667</v>
      </c>
      <c r="G58" s="48">
        <f t="shared" si="11"/>
        <v>0.5681621514338896</v>
      </c>
      <c r="H58" s="48">
        <f t="shared" si="11"/>
        <v>0.5741931907552652</v>
      </c>
      <c r="I58" s="48">
        <f t="shared" si="11"/>
        <v>0.5254567002197573</v>
      </c>
      <c r="J58" s="48">
        <f t="shared" si="11"/>
        <v>0.43004973140468883</v>
      </c>
      <c r="K58" s="48">
        <f t="shared" si="11"/>
        <v>-0.42314291174540053</v>
      </c>
    </row>
    <row r="59" spans="1:11" ht="12.75">
      <c r="A59" s="38" t="s">
        <v>97</v>
      </c>
      <c r="K59" s="48">
        <f>K52</f>
        <v>0.42314291174540053</v>
      </c>
    </row>
    <row r="61" spans="1:12" ht="12.75">
      <c r="A61" s="37" t="s">
        <v>98</v>
      </c>
      <c r="D61" s="39" t="s">
        <v>87</v>
      </c>
      <c r="J61" s="39" t="s">
        <v>99</v>
      </c>
      <c r="L61" s="39" t="s">
        <v>100</v>
      </c>
    </row>
    <row r="62" spans="1:12" ht="12.75">
      <c r="A62" s="38" t="s">
        <v>101</v>
      </c>
      <c r="D62" s="38">
        <f>1135+158</f>
        <v>1293</v>
      </c>
      <c r="F62" s="58" t="s">
        <v>102</v>
      </c>
      <c r="H62" s="38">
        <v>191.1</v>
      </c>
      <c r="J62" s="48">
        <f>D62/H62</f>
        <v>6.766091051805338</v>
      </c>
      <c r="L62" s="59">
        <f>$L$57/J62</f>
        <v>0.9484933479487114</v>
      </c>
    </row>
    <row r="63" spans="1:13" ht="12.75">
      <c r="A63" s="38" t="s">
        <v>103</v>
      </c>
      <c r="D63" s="38">
        <f>3427-217</f>
        <v>3210</v>
      </c>
      <c r="H63" s="38">
        <v>191.1</v>
      </c>
      <c r="J63" s="48">
        <f>D63/H63</f>
        <v>16.797488226059656</v>
      </c>
      <c r="L63" s="59">
        <f>$L$57/J63</f>
        <v>0.382056666323266</v>
      </c>
      <c r="M63" s="59"/>
    </row>
    <row r="64" spans="10:12" ht="12.75">
      <c r="J64" s="48"/>
      <c r="L64" s="45"/>
    </row>
    <row r="65" spans="3:11" ht="12.75">
      <c r="C65" s="52">
        <v>2010</v>
      </c>
      <c r="D65" s="52">
        <f aca="true" t="shared" si="12" ref="D65:K65">C65+1</f>
        <v>2011</v>
      </c>
      <c r="E65" s="52">
        <f t="shared" si="12"/>
        <v>2012</v>
      </c>
      <c r="F65" s="52">
        <f t="shared" si="12"/>
        <v>2013</v>
      </c>
      <c r="G65" s="52">
        <f t="shared" si="12"/>
        <v>2014</v>
      </c>
      <c r="H65" s="52">
        <f t="shared" si="12"/>
        <v>2015</v>
      </c>
      <c r="I65" s="52">
        <f t="shared" si="12"/>
        <v>2016</v>
      </c>
      <c r="J65" s="52">
        <f t="shared" si="12"/>
        <v>2017</v>
      </c>
      <c r="K65" s="52">
        <f t="shared" si="12"/>
        <v>2018</v>
      </c>
    </row>
    <row r="66" spans="1:12" ht="12.75">
      <c r="A66" s="38" t="s">
        <v>104</v>
      </c>
      <c r="B66" s="38" t="s">
        <v>105</v>
      </c>
      <c r="D66" s="59">
        <f aca="true" t="shared" si="13" ref="D66:K66">D$57/$L$57*$L$62</f>
        <v>0.22169373549883986</v>
      </c>
      <c r="E66" s="59">
        <f t="shared" si="13"/>
        <v>0.08867749419953595</v>
      </c>
      <c r="F66" s="59">
        <f t="shared" si="13"/>
        <v>0.08867749419953595</v>
      </c>
      <c r="G66" s="59">
        <f t="shared" si="13"/>
        <v>0.08867749419953595</v>
      </c>
      <c r="H66" s="59">
        <f t="shared" si="13"/>
        <v>0.08867749419953595</v>
      </c>
      <c r="I66" s="59">
        <f t="shared" si="13"/>
        <v>0.08867749419953595</v>
      </c>
      <c r="J66" s="59">
        <f t="shared" si="13"/>
        <v>0.08867749419953595</v>
      </c>
      <c r="K66" s="59">
        <f t="shared" si="13"/>
        <v>0.19473464725265593</v>
      </c>
      <c r="L66" s="59">
        <f>SUM(D66:K66)</f>
        <v>0.9484933479487117</v>
      </c>
    </row>
    <row r="67" spans="2:12" ht="12.75">
      <c r="B67" s="38" t="s">
        <v>106</v>
      </c>
      <c r="D67" s="59">
        <f aca="true" t="shared" si="14" ref="D67:K67">D$57/$L$57*$L$63</f>
        <v>0.08929906542056074</v>
      </c>
      <c r="E67" s="59">
        <f t="shared" si="14"/>
        <v>0.03571962616822429</v>
      </c>
      <c r="F67" s="59">
        <f t="shared" si="14"/>
        <v>0.03571962616822429</v>
      </c>
      <c r="G67" s="59">
        <f t="shared" si="14"/>
        <v>0.03571962616822429</v>
      </c>
      <c r="H67" s="59">
        <f t="shared" si="14"/>
        <v>0.03571962616822429</v>
      </c>
      <c r="I67" s="59">
        <f t="shared" si="14"/>
        <v>0.03571962616822429</v>
      </c>
      <c r="J67" s="59">
        <f t="shared" si="14"/>
        <v>0.03571962616822429</v>
      </c>
      <c r="K67" s="59">
        <f t="shared" si="14"/>
        <v>0.07843984389335955</v>
      </c>
      <c r="L67" s="59">
        <f>SUM(D67:K67)</f>
        <v>0.38205666632326607</v>
      </c>
    </row>
  </sheetData>
  <sheetProtection/>
  <printOptions/>
  <pageMargins left="0.75" right="0.75" top="1" bottom="1" header="0.5" footer="0.5"/>
  <pageSetup fitToHeight="2" fitToWidth="1" horizontalDpi="600" verticalDpi="600" orientation="landscape" paperSize="9" r:id="rId1"/>
  <headerFooter alignWithMargins="0">
    <oddHeader>&amp;C&amp;F</oddHeader>
    <oddFooter>&amp;CPrepared by Stephen.Jones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cp:lastPrinted>2010-05-13T23:47:09Z</cp:lastPrinted>
  <dcterms:created xsi:type="dcterms:W3CDTF">2009-12-14T11:10:15Z</dcterms:created>
  <dcterms:modified xsi:type="dcterms:W3CDTF">2010-05-19T07:11:58Z</dcterms:modified>
  <cp:category/>
  <cp:version/>
  <cp:contentType/>
  <cp:contentStatus/>
</cp:coreProperties>
</file>